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<sst xmlns="http://schemas.openxmlformats.org/spreadsheetml/2006/main" count="34" uniqueCount="32">
  <si>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5 Day member (Mon - Fri)</t>
  </si>
  <si>
    <t>Intermediate (18 - 21)</t>
  </si>
  <si>
    <t>Select ….</t>
  </si>
  <si>
    <t>Golf Fees</t>
  </si>
  <si>
    <t>Age at 1 Apr</t>
  </si>
  <si>
    <t>Membership category</t>
  </si>
  <si>
    <t>Year commencing</t>
  </si>
  <si>
    <t>Alt O H U</t>
  </si>
  <si>
    <t>including golf union &amp; social club fees</t>
  </si>
  <si>
    <t>Cheques payable to "Copsewood Grange Golf Club"</t>
  </si>
  <si>
    <t>Full</t>
  </si>
  <si>
    <t>Joining date</t>
  </si>
  <si>
    <t>Intermediate (24 - 25)</t>
  </si>
  <si>
    <t>Intermediate (22 - 23)</t>
  </si>
  <si>
    <t>Alt T P P</t>
  </si>
  <si>
    <t>Intermediate (26 - 27)</t>
  </si>
  <si>
    <t xml:space="preserve">7 Day Member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</si>
  <si>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</si>
  <si>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</si>
  <si>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</si>
  <si>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</si>
  <si>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</si>
  <si>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</si>
  <si>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</si>
  <si>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</si>
  <si>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</si>
  <si>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</si>
  <si>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</si>
  <si>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</si>
  <si>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Add £36 if paying by 12 monthly instalments</t>
  </si>
  <si>
    <t>6 Day+ member (Sun - Fri)</t>
  </si>
  <si>
    <t>Add £12 if paying by 6 monthly instalments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</si>
</sst>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  <numFmt numFmtId="166" formatCode="dd/mm/yy"/>
    <numFmt numFmtId="167" formatCode="dd/mmm/yy"/>
    <numFmt numFmtId="168" formatCode="dd\ mmm\ yy"/>
    <numFmt numFmtId="169" formatCode="&quot;£&quot;#,##0.00"/>
    <numFmt numFmtId="170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164" fontId="39" fillId="2" borderId="0" xfId="0" applyNumberFormat="1" applyFont="1" applyFill="1" applyAlignment="1">
      <alignment/>
    </xf>
    <xf numFmtId="168" fontId="39" fillId="2" borderId="0" xfId="0" applyNumberFormat="1" applyFont="1" applyFill="1" applyAlignment="1">
      <alignment/>
    </xf>
    <xf numFmtId="168" fontId="39" fillId="2" borderId="0" xfId="0" applyNumberFormat="1" applyFont="1" applyFill="1" applyAlignment="1">
      <alignment horizontal="center"/>
    </xf>
    <xf numFmtId="164" fontId="39" fillId="2" borderId="0" xfId="0" applyNumberFormat="1" applyFont="1" applyFill="1" applyAlignment="1">
      <alignment horizontal="center"/>
    </xf>
    <xf numFmtId="0" fontId="39" fillId="2" borderId="0" xfId="0" applyFont="1" applyFill="1" applyAlignment="1">
      <alignment vertical="center"/>
    </xf>
    <xf numFmtId="164" fontId="39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vertical="justify"/>
    </xf>
    <xf numFmtId="8" fontId="39" fillId="2" borderId="0" xfId="0" applyNumberFormat="1" applyFont="1" applyFill="1" applyAlignment="1">
      <alignment horizontal="center"/>
    </xf>
    <xf numFmtId="168" fontId="39" fillId="16" borderId="0" xfId="0" applyNumberFormat="1" applyFont="1" applyFill="1" applyAlignment="1" applyProtection="1">
      <alignment horizontal="center"/>
      <protection locked="0"/>
    </xf>
    <xf numFmtId="169" fontId="39" fillId="2" borderId="0" xfId="0" applyNumberFormat="1" applyFont="1" applyFill="1" applyAlignment="1">
      <alignment horizontal="center"/>
    </xf>
    <xf numFmtId="0" fontId="39" fillId="16" borderId="0" xfId="0" applyFont="1" applyFill="1" applyAlignment="1" applyProtection="1">
      <alignment horizontal="center" vertical="center"/>
      <protection locked="0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2" borderId="0" xfId="0" applyNumberFormat="1" applyFont="1" applyFill="1" applyAlignment="1">
      <alignment horizontal="right" vertical="center"/>
    </xf>
    <xf numFmtId="164" fontId="39" fillId="2" borderId="0" xfId="0" applyNumberFormat="1" applyFont="1" applyFill="1" applyAlignment="1">
      <alignment vertical="justify"/>
    </xf>
    <xf numFmtId="16" fontId="41" fillId="2" borderId="0" xfId="0" applyNumberFormat="1" applyFont="1" applyFill="1" applyAlignment="1">
      <alignment/>
    </xf>
    <xf numFmtId="9" fontId="39" fillId="2" borderId="0" xfId="57" applyFont="1" applyFill="1" applyAlignment="1">
      <alignment/>
    </xf>
    <xf numFmtId="170" fontId="39" fillId="2" borderId="0" xfId="57" applyNumberFormat="1" applyFont="1" applyFill="1" applyAlignment="1">
      <alignment/>
    </xf>
    <xf numFmtId="170" fontId="39" fillId="2" borderId="0" xfId="0" applyNumberFormat="1" applyFont="1" applyFill="1" applyAlignment="1">
      <alignment/>
    </xf>
    <xf numFmtId="0" fontId="39" fillId="2" borderId="0" xfId="0" applyFont="1" applyFill="1" applyAlignment="1">
      <alignment horizontal="left"/>
    </xf>
    <xf numFmtId="14" fontId="3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0" fontId="39" fillId="2" borderId="0" xfId="0" applyFont="1" applyFill="1" applyAlignment="1">
      <alignment vertical="justify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219075</xdr:rowOff>
    </xdr:from>
    <xdr:to>
      <xdr:col>4</xdr:col>
      <xdr:colOff>514350</xdr:colOff>
      <xdr:row>5</xdr:row>
      <xdr:rowOff>200025</xdr:rowOff>
    </xdr:to>
    <xdr:sp>
      <xdr:nvSpPr>
        <xdr:cNvPr id="1" name="Right Arrow 4"/>
        <xdr:cNvSpPr>
          <a:spLocks/>
        </xdr:cNvSpPr>
      </xdr:nvSpPr>
      <xdr:spPr>
        <a:xfrm>
          <a:off x="2371725" y="1133475"/>
          <a:ext cx="514350" cy="209550"/>
        </a:xfrm>
        <a:prstGeom prst="rightArrow">
          <a:avLst>
            <a:gd name="adj" fmla="val 29629"/>
          </a:avLst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4</xdr:col>
      <xdr:colOff>514350</xdr:colOff>
      <xdr:row>4</xdr:row>
      <xdr:rowOff>0</xdr:rowOff>
    </xdr:to>
    <xdr:sp>
      <xdr:nvSpPr>
        <xdr:cNvPr id="2" name="Right Arrow 6"/>
        <xdr:cNvSpPr>
          <a:spLocks/>
        </xdr:cNvSpPr>
      </xdr:nvSpPr>
      <xdr:spPr>
        <a:xfrm>
          <a:off x="2371725" y="704850"/>
          <a:ext cx="514350" cy="209550"/>
        </a:xfrm>
        <a:prstGeom prst="rightArrow">
          <a:avLst>
            <a:gd name="adj" fmla="val 29629"/>
          </a:avLst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0"/>
  <sheetViews>
    <sheetView tabSelected="1" zoomScalePageLayoutView="0" workbookViewId="0" topLeftCell="C1">
      <selection activeCell="F4" sqref="F4"/>
    </sheetView>
  </sheetViews>
  <sheetFormatPr defaultColWidth="9.140625" defaultRowHeight="15"/>
  <cols>
    <col min="1" max="1" width="32.8515625" style="1" hidden="1" customWidth="1"/>
    <col min="2" max="2" width="7.57421875" style="1" hidden="1" customWidth="1"/>
    <col min="3" max="3" width="7.57421875" style="1" customWidth="1"/>
    <col min="4" max="4" width="28.00390625" style="1" bestFit="1" customWidth="1"/>
    <col min="5" max="5" width="25.140625" style="1" customWidth="1"/>
    <col min="6" max="6" width="34.140625" style="2" bestFit="1" customWidth="1"/>
    <col min="7" max="7" width="4.8515625" style="2" customWidth="1"/>
    <col min="8" max="8" width="27.421875" style="1" bestFit="1" customWidth="1"/>
    <col min="9" max="9" width="23.57421875" style="1" hidden="1" customWidth="1"/>
    <col min="10" max="10" width="16.57421875" style="1" hidden="1" customWidth="1"/>
    <col min="11" max="11" width="10.7109375" style="1" hidden="1" customWidth="1"/>
    <col min="12" max="12" width="9.140625" style="1" hidden="1" customWidth="1"/>
    <col min="13" max="13" width="10.7109375" style="1" hidden="1" customWidth="1"/>
    <col min="14" max="23" width="9.140625" style="1" hidden="1" customWidth="1"/>
    <col min="24" max="24" width="7.57421875" style="1" hidden="1" customWidth="1"/>
    <col min="25" max="25" width="6.00390625" style="1" hidden="1" customWidth="1"/>
    <col min="26" max="26" width="9.140625" style="1" customWidth="1"/>
    <col min="27" max="16384" width="9.140625" style="1" customWidth="1"/>
  </cols>
  <sheetData>
    <row r="1" spans="9:10" ht="18">
      <c r="I1" s="1" t="s">
        <v>6</v>
      </c>
      <c r="J1" s="1" t="s">
        <v>4</v>
      </c>
    </row>
    <row r="2" spans="2:11" ht="18">
      <c r="B2" s="3">
        <f>VLOOKUP(F4,A4:B11,2,FALSE)</f>
        <v>486</v>
      </c>
      <c r="I2" s="4">
        <v>42826</v>
      </c>
      <c r="J2" s="2">
        <f>ROUNDDOWN((I2-F2)/365.25,0)</f>
        <v>117</v>
      </c>
      <c r="K2" s="1" t="s">
        <v>10</v>
      </c>
    </row>
    <row r="3" spans="1:24" ht="18">
      <c r="A3" s="1" t="s">
        <v>2</v>
      </c>
      <c r="K3" s="17"/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  <c r="T3" s="1" t="s">
        <v>24</v>
      </c>
      <c r="U3" s="1" t="s">
        <v>25</v>
      </c>
      <c r="V3" s="1" t="s">
        <v>26</v>
      </c>
      <c r="W3" s="1" t="s">
        <v>27</v>
      </c>
      <c r="X3" s="1" t="s">
        <v>28</v>
      </c>
    </row>
    <row r="4" spans="1:25" ht="18">
      <c r="A4" s="1" t="s">
        <v>16</v>
      </c>
      <c r="B4" s="3">
        <v>486</v>
      </c>
      <c r="C4" s="18"/>
      <c r="D4" s="3" t="s">
        <v>5</v>
      </c>
      <c r="E4" s="21"/>
      <c r="F4" s="13" t="s">
        <v>16</v>
      </c>
      <c r="I4" s="4">
        <v>43556</v>
      </c>
      <c r="K4" s="19">
        <f>M6</f>
        <v>1</v>
      </c>
      <c r="M4" s="1">
        <v>41</v>
      </c>
      <c r="N4" s="1">
        <v>55</v>
      </c>
      <c r="O4" s="1">
        <v>65</v>
      </c>
      <c r="P4" s="1">
        <v>65</v>
      </c>
      <c r="Q4" s="1">
        <v>65</v>
      </c>
      <c r="R4" s="1">
        <v>55</v>
      </c>
      <c r="S4" s="1">
        <v>40</v>
      </c>
      <c r="T4" s="1">
        <v>20</v>
      </c>
      <c r="U4" s="1">
        <v>20</v>
      </c>
      <c r="V4" s="1">
        <v>15</v>
      </c>
      <c r="W4" s="1">
        <v>15</v>
      </c>
      <c r="X4" s="1">
        <v>30</v>
      </c>
      <c r="Y4" s="1">
        <f>SUM(M4:X4)</f>
        <v>486</v>
      </c>
    </row>
    <row r="5" spans="1:24" ht="18">
      <c r="A5" s="1" t="s">
        <v>30</v>
      </c>
      <c r="B5" s="3">
        <v>437</v>
      </c>
      <c r="C5" s="3"/>
      <c r="D5" s="3"/>
      <c r="I5" s="4">
        <f>I4+1</f>
        <v>43557</v>
      </c>
      <c r="K5" s="20">
        <f>K$34+(29*(K$4-K$34))/30</f>
        <v>0.9971527777777778</v>
      </c>
      <c r="M5" s="1">
        <v>480</v>
      </c>
      <c r="N5" s="1">
        <f>M5-M4</f>
        <v>439</v>
      </c>
      <c r="O5" s="1">
        <f aca="true" t="shared" si="0" ref="O5:W5">N5-N4</f>
        <v>384</v>
      </c>
      <c r="P5" s="1">
        <f t="shared" si="0"/>
        <v>319</v>
      </c>
      <c r="Q5" s="1">
        <f t="shared" si="0"/>
        <v>254</v>
      </c>
      <c r="R5" s="1">
        <f t="shared" si="0"/>
        <v>189</v>
      </c>
      <c r="S5" s="1">
        <f t="shared" si="0"/>
        <v>134</v>
      </c>
      <c r="T5" s="1">
        <f t="shared" si="0"/>
        <v>94</v>
      </c>
      <c r="U5" s="1">
        <f t="shared" si="0"/>
        <v>74</v>
      </c>
      <c r="V5" s="1">
        <f t="shared" si="0"/>
        <v>54</v>
      </c>
      <c r="W5" s="1">
        <f t="shared" si="0"/>
        <v>39</v>
      </c>
      <c r="X5" s="1">
        <f>W5-W4</f>
        <v>24</v>
      </c>
    </row>
    <row r="6" spans="1:24" ht="18">
      <c r="A6" s="1" t="s">
        <v>0</v>
      </c>
      <c r="B6" s="3">
        <v>381</v>
      </c>
      <c r="C6" s="3"/>
      <c r="D6" s="3" t="s">
        <v>11</v>
      </c>
      <c r="F6" s="11">
        <v>43556</v>
      </c>
      <c r="G6" s="5"/>
      <c r="I6" s="4">
        <f aca="true" t="shared" si="1" ref="I6:I69">I5+1</f>
        <v>43558</v>
      </c>
      <c r="K6" s="20">
        <f>K$34+(28*(K$4-K$34))/30</f>
        <v>0.9943055555555556</v>
      </c>
      <c r="M6" s="19">
        <f>M5/$M5</f>
        <v>1</v>
      </c>
      <c r="N6" s="19">
        <f aca="true" t="shared" si="2" ref="N6:X6">N5/$M5</f>
        <v>0.9145833333333333</v>
      </c>
      <c r="O6" s="19">
        <f t="shared" si="2"/>
        <v>0.8</v>
      </c>
      <c r="P6" s="19">
        <f t="shared" si="2"/>
        <v>0.6645833333333333</v>
      </c>
      <c r="Q6" s="19">
        <f t="shared" si="2"/>
        <v>0.5291666666666667</v>
      </c>
      <c r="R6" s="19">
        <f t="shared" si="2"/>
        <v>0.39375</v>
      </c>
      <c r="S6" s="19">
        <f t="shared" si="2"/>
        <v>0.2791666666666667</v>
      </c>
      <c r="T6" s="19">
        <f t="shared" si="2"/>
        <v>0.19583333333333333</v>
      </c>
      <c r="U6" s="19">
        <f t="shared" si="2"/>
        <v>0.15416666666666667</v>
      </c>
      <c r="V6" s="19">
        <f t="shared" si="2"/>
        <v>0.1125</v>
      </c>
      <c r="W6" s="19">
        <f t="shared" si="2"/>
        <v>0.08125</v>
      </c>
      <c r="X6" s="19">
        <f t="shared" si="2"/>
        <v>0.05</v>
      </c>
    </row>
    <row r="7" spans="1:11" ht="18.75" thickBot="1">
      <c r="A7" s="1" t="s">
        <v>15</v>
      </c>
      <c r="B7" s="3">
        <v>414</v>
      </c>
      <c r="C7" s="3"/>
      <c r="D7" s="3"/>
      <c r="I7" s="4">
        <f t="shared" si="1"/>
        <v>43559</v>
      </c>
      <c r="K7" s="20">
        <f>K$34+(27*(K$4-K$34))/30</f>
        <v>0.9914583333333333</v>
      </c>
    </row>
    <row r="8" spans="1:11" ht="36.75" thickBot="1">
      <c r="A8" s="1" t="s">
        <v>12</v>
      </c>
      <c r="B8" s="3">
        <v>339</v>
      </c>
      <c r="C8" s="3"/>
      <c r="D8" s="15" t="s">
        <v>3</v>
      </c>
      <c r="F8" s="14">
        <f>$B$2*(VLOOKUP(F6,I4:K243,3,FALSE))</f>
        <v>486</v>
      </c>
      <c r="G8" s="6"/>
      <c r="H8" s="16" t="s">
        <v>8</v>
      </c>
      <c r="I8" s="4">
        <f t="shared" si="1"/>
        <v>43560</v>
      </c>
      <c r="K8" s="20">
        <f>K$34+(26*(K$4-K$34))/30</f>
        <v>0.9886111111111111</v>
      </c>
    </row>
    <row r="9" spans="1:11" ht="18">
      <c r="A9" s="1" t="s">
        <v>13</v>
      </c>
      <c r="B9" s="3">
        <v>267</v>
      </c>
      <c r="C9" s="3"/>
      <c r="I9" s="4">
        <f t="shared" si="1"/>
        <v>43561</v>
      </c>
      <c r="K9" s="20">
        <f>K$34+(25*(K$4-K$34))/30</f>
        <v>0.9857638888888889</v>
      </c>
    </row>
    <row r="10" spans="1:11" ht="18">
      <c r="A10" s="1" t="s">
        <v>1</v>
      </c>
      <c r="B10" s="3">
        <v>195</v>
      </c>
      <c r="E10" s="1" t="s">
        <v>31</v>
      </c>
      <c r="F10" s="12"/>
      <c r="I10" s="4">
        <f t="shared" si="1"/>
        <v>43562</v>
      </c>
      <c r="K10" s="20">
        <f>K$34+(24*(K$4-K$34))/30</f>
        <v>0.9829166666666667</v>
      </c>
    </row>
    <row r="11" spans="2:11" ht="18">
      <c r="B11" s="3"/>
      <c r="E11" s="1" t="s">
        <v>29</v>
      </c>
      <c r="F11" s="12"/>
      <c r="I11" s="4">
        <f t="shared" si="1"/>
        <v>43563</v>
      </c>
      <c r="K11" s="20">
        <f>K$34+(23*(K$4-K$34))/30</f>
        <v>0.9800694444444444</v>
      </c>
    </row>
    <row r="12" spans="2:11" ht="18">
      <c r="B12" s="3"/>
      <c r="I12" s="4">
        <f t="shared" si="1"/>
        <v>43564</v>
      </c>
      <c r="K12" s="20">
        <f>K$34+(22*(K$4-K$34))/30</f>
        <v>0.9772222222222222</v>
      </c>
    </row>
    <row r="13" spans="1:11" ht="18">
      <c r="A13" s="1" t="s">
        <v>14</v>
      </c>
      <c r="D13" s="22"/>
      <c r="E13" s="24" t="s">
        <v>9</v>
      </c>
      <c r="F13" s="25"/>
      <c r="G13" s="25"/>
      <c r="H13" s="25"/>
      <c r="I13" s="4">
        <f t="shared" si="1"/>
        <v>43565</v>
      </c>
      <c r="K13" s="20">
        <f>K$34+(21*(K$4-K$34))/30</f>
        <v>0.974375</v>
      </c>
    </row>
    <row r="14" spans="1:11" ht="42" customHeight="1">
      <c r="A14" s="1" t="s">
        <v>7</v>
      </c>
      <c r="E14" s="7"/>
      <c r="F14" s="10"/>
      <c r="G14" s="8"/>
      <c r="H14" s="9"/>
      <c r="I14" s="4">
        <f t="shared" si="1"/>
        <v>43566</v>
      </c>
      <c r="K14" s="20">
        <f>K$34+(20*(K$4-K$34))/30</f>
        <v>0.9715277777777778</v>
      </c>
    </row>
    <row r="15" spans="5:11" ht="18">
      <c r="E15" s="24"/>
      <c r="F15" s="25"/>
      <c r="G15" s="25"/>
      <c r="H15" s="25"/>
      <c r="I15" s="4">
        <f t="shared" si="1"/>
        <v>43567</v>
      </c>
      <c r="K15" s="20">
        <f>K$34+(19*(K$4-K$34))/30</f>
        <v>0.9686805555555555</v>
      </c>
    </row>
    <row r="16" spans="4:11" ht="18">
      <c r="D16" s="23" t="s">
        <v>14</v>
      </c>
      <c r="I16" s="4">
        <f t="shared" si="1"/>
        <v>43568</v>
      </c>
      <c r="K16" s="20">
        <f>K$34+(18*(K$4-K$34))/30</f>
        <v>0.9658333333333333</v>
      </c>
    </row>
    <row r="17" spans="9:11" ht="18">
      <c r="I17" s="4">
        <f t="shared" si="1"/>
        <v>43569</v>
      </c>
      <c r="K17" s="20">
        <f>K$34+(17*(K$4-K$34))/30</f>
        <v>0.9629861111111111</v>
      </c>
    </row>
    <row r="18" spans="9:11" ht="18">
      <c r="I18" s="4">
        <f t="shared" si="1"/>
        <v>43570</v>
      </c>
      <c r="K18" s="20">
        <f>K$34+(16*(K$4-K$34))/30</f>
        <v>0.9601388888888889</v>
      </c>
    </row>
    <row r="19" spans="9:11" ht="18">
      <c r="I19" s="4">
        <f t="shared" si="1"/>
        <v>43571</v>
      </c>
      <c r="K19" s="20">
        <f>K$34+(15*(K$4-K$34))/30</f>
        <v>0.9572916666666667</v>
      </c>
    </row>
    <row r="20" spans="9:11" ht="18">
      <c r="I20" s="4">
        <f t="shared" si="1"/>
        <v>43572</v>
      </c>
      <c r="K20" s="20">
        <f>K$34+(14*(K$4-K$34))/30</f>
        <v>0.9544444444444444</v>
      </c>
    </row>
    <row r="21" spans="9:11" ht="18">
      <c r="I21" s="4">
        <f t="shared" si="1"/>
        <v>43573</v>
      </c>
      <c r="K21" s="20">
        <f>K$34+(13*(K$4-K$34))/30</f>
        <v>0.9515972222222222</v>
      </c>
    </row>
    <row r="22" spans="9:11" ht="18">
      <c r="I22" s="4">
        <f t="shared" si="1"/>
        <v>43574</v>
      </c>
      <c r="K22" s="20">
        <f>K$34+(12*(K$4-K$34))/30</f>
        <v>0.94875</v>
      </c>
    </row>
    <row r="23" spans="9:11" ht="18">
      <c r="I23" s="4">
        <f t="shared" si="1"/>
        <v>43575</v>
      </c>
      <c r="K23" s="20">
        <f>K$34+(11*(K$4-K$34))/30</f>
        <v>0.9459027777777778</v>
      </c>
    </row>
    <row r="24" spans="9:11" ht="18">
      <c r="I24" s="4">
        <f t="shared" si="1"/>
        <v>43576</v>
      </c>
      <c r="K24" s="20">
        <f>K$34+(10*(K$4-K$34))/30</f>
        <v>0.9430555555555555</v>
      </c>
    </row>
    <row r="25" spans="9:11" ht="18">
      <c r="I25" s="4">
        <f t="shared" si="1"/>
        <v>43577</v>
      </c>
      <c r="K25" s="20">
        <f>K$34+(9*(K$4-K$34))/30</f>
        <v>0.9402083333333333</v>
      </c>
    </row>
    <row r="26" spans="9:11" ht="18">
      <c r="I26" s="4">
        <f t="shared" si="1"/>
        <v>43578</v>
      </c>
      <c r="K26" s="20">
        <f>K$34+(8*(K$4-K$34))/30</f>
        <v>0.9373611111111111</v>
      </c>
    </row>
    <row r="27" spans="9:11" ht="18">
      <c r="I27" s="4">
        <f t="shared" si="1"/>
        <v>43579</v>
      </c>
      <c r="K27" s="20">
        <f>K$34+(7*(K$4-K$34))/30</f>
        <v>0.9345138888888889</v>
      </c>
    </row>
    <row r="28" spans="9:11" ht="18">
      <c r="I28" s="4">
        <f t="shared" si="1"/>
        <v>43580</v>
      </c>
      <c r="K28" s="20">
        <f>K$34+(6*(K$4-K$34))/30</f>
        <v>0.9316666666666666</v>
      </c>
    </row>
    <row r="29" spans="9:11" ht="18">
      <c r="I29" s="4">
        <f t="shared" si="1"/>
        <v>43581</v>
      </c>
      <c r="K29" s="20">
        <f>K$34+(5*(K$4-K$34))/30</f>
        <v>0.9288194444444444</v>
      </c>
    </row>
    <row r="30" spans="9:11" ht="18">
      <c r="I30" s="4">
        <f t="shared" si="1"/>
        <v>43582</v>
      </c>
      <c r="K30" s="20">
        <f>K$34+(4*(K$4-K$34))/30</f>
        <v>0.9259722222222222</v>
      </c>
    </row>
    <row r="31" spans="9:11" ht="18">
      <c r="I31" s="4">
        <f t="shared" si="1"/>
        <v>43583</v>
      </c>
      <c r="K31" s="20">
        <f>K$34+(3*(K$4-K$34))/30</f>
        <v>0.923125</v>
      </c>
    </row>
    <row r="32" spans="9:11" ht="18">
      <c r="I32" s="4">
        <f t="shared" si="1"/>
        <v>43584</v>
      </c>
      <c r="K32" s="20">
        <f>K$34+(2*(K$4-K$34))/30</f>
        <v>0.9202777777777778</v>
      </c>
    </row>
    <row r="33" spans="9:11" ht="18">
      <c r="I33" s="4">
        <f t="shared" si="1"/>
        <v>43585</v>
      </c>
      <c r="K33" s="20">
        <f>K$34+(1*(K$4-K$34))/30</f>
        <v>0.9174305555555555</v>
      </c>
    </row>
    <row r="34" spans="9:11" ht="18">
      <c r="I34" s="4">
        <f t="shared" si="1"/>
        <v>43586</v>
      </c>
      <c r="K34" s="20">
        <f>N6</f>
        <v>0.9145833333333333</v>
      </c>
    </row>
    <row r="35" spans="9:11" ht="18">
      <c r="I35" s="4">
        <f t="shared" si="1"/>
        <v>43587</v>
      </c>
      <c r="K35" s="20">
        <f>K$65+(30*(K$34-K$65))/31</f>
        <v>0.9108870967741935</v>
      </c>
    </row>
    <row r="36" spans="9:11" ht="18">
      <c r="I36" s="4">
        <f t="shared" si="1"/>
        <v>43588</v>
      </c>
      <c r="K36" s="20">
        <f>K$65+(29*(K$34-K$65))/31</f>
        <v>0.9071908602150537</v>
      </c>
    </row>
    <row r="37" spans="9:11" ht="18">
      <c r="I37" s="4">
        <f t="shared" si="1"/>
        <v>43589</v>
      </c>
      <c r="K37" s="20">
        <f>K$65+(28*(K$34-K$65))/31</f>
        <v>0.9034946236559139</v>
      </c>
    </row>
    <row r="38" spans="9:11" ht="18">
      <c r="I38" s="4">
        <f t="shared" si="1"/>
        <v>43590</v>
      </c>
      <c r="K38" s="20">
        <f>K$65+(27*(K$34-K$65))/31</f>
        <v>0.8997983870967742</v>
      </c>
    </row>
    <row r="39" spans="9:11" ht="18">
      <c r="I39" s="4">
        <f t="shared" si="1"/>
        <v>43591</v>
      </c>
      <c r="K39" s="20">
        <f>K$65+(26*(K$34-K$65))/31</f>
        <v>0.8961021505376344</v>
      </c>
    </row>
    <row r="40" spans="9:11" ht="18">
      <c r="I40" s="4">
        <f t="shared" si="1"/>
        <v>43592</v>
      </c>
      <c r="K40" s="20">
        <f>K$65+(25*(K$34-K$65))/31</f>
        <v>0.8924059139784946</v>
      </c>
    </row>
    <row r="41" spans="9:11" ht="18">
      <c r="I41" s="4">
        <f t="shared" si="1"/>
        <v>43593</v>
      </c>
      <c r="K41" s="20">
        <f>K$65+(24*(K$34-K$65))/31</f>
        <v>0.8887096774193548</v>
      </c>
    </row>
    <row r="42" spans="9:11" ht="18">
      <c r="I42" s="4">
        <f t="shared" si="1"/>
        <v>43594</v>
      </c>
      <c r="K42" s="20">
        <f>K$65+(23*(K$34-K$65))/31</f>
        <v>0.885013440860215</v>
      </c>
    </row>
    <row r="43" spans="9:11" ht="18">
      <c r="I43" s="4">
        <f t="shared" si="1"/>
        <v>43595</v>
      </c>
      <c r="K43" s="20">
        <f>K$65+(22*(K$34-K$65))/31</f>
        <v>0.8813172043010753</v>
      </c>
    </row>
    <row r="44" spans="9:11" ht="18">
      <c r="I44" s="4">
        <f t="shared" si="1"/>
        <v>43596</v>
      </c>
      <c r="K44" s="20">
        <f>K$65+(21*(K$34-K$65))/31</f>
        <v>0.8776209677419354</v>
      </c>
    </row>
    <row r="45" spans="9:11" ht="18">
      <c r="I45" s="4">
        <f t="shared" si="1"/>
        <v>43597</v>
      </c>
      <c r="K45" s="20">
        <f>K$65+(20*(K$34-K$65))/31</f>
        <v>0.8739247311827957</v>
      </c>
    </row>
    <row r="46" spans="9:11" ht="18">
      <c r="I46" s="4">
        <f t="shared" si="1"/>
        <v>43598</v>
      </c>
      <c r="K46" s="20">
        <f>K$65+(19*(K$34-K$65))/31</f>
        <v>0.8702284946236559</v>
      </c>
    </row>
    <row r="47" spans="9:11" ht="18">
      <c r="I47" s="4">
        <f t="shared" si="1"/>
        <v>43599</v>
      </c>
      <c r="K47" s="20">
        <f>K$65+(18*(K$34-K$65))/31</f>
        <v>0.8665322580645162</v>
      </c>
    </row>
    <row r="48" spans="9:11" ht="18">
      <c r="I48" s="4">
        <f t="shared" si="1"/>
        <v>43600</v>
      </c>
      <c r="K48" s="20">
        <f>K$65+(17*(K$34-K$65))/31</f>
        <v>0.8628360215053763</v>
      </c>
    </row>
    <row r="49" spans="9:11" ht="18">
      <c r="I49" s="4">
        <f t="shared" si="1"/>
        <v>43601</v>
      </c>
      <c r="K49" s="20">
        <f>K$65+(16*(K$34-K$65))/31</f>
        <v>0.8591397849462366</v>
      </c>
    </row>
    <row r="50" spans="9:11" ht="18">
      <c r="I50" s="4">
        <f t="shared" si="1"/>
        <v>43602</v>
      </c>
      <c r="K50" s="20">
        <f>K$65+(15*(K$34-K$65))/31</f>
        <v>0.8554435483870968</v>
      </c>
    </row>
    <row r="51" spans="9:11" ht="18">
      <c r="I51" s="4">
        <f t="shared" si="1"/>
        <v>43603</v>
      </c>
      <c r="K51" s="20">
        <f>K$65+(14*(K$34-K$65))/31</f>
        <v>0.851747311827957</v>
      </c>
    </row>
    <row r="52" spans="9:11" ht="18">
      <c r="I52" s="4">
        <f t="shared" si="1"/>
        <v>43604</v>
      </c>
      <c r="K52" s="20">
        <f>K$65+(13*(K$34-K$65))/31</f>
        <v>0.8480510752688172</v>
      </c>
    </row>
    <row r="53" spans="9:11" ht="18">
      <c r="I53" s="4">
        <f t="shared" si="1"/>
        <v>43605</v>
      </c>
      <c r="K53" s="20">
        <f>K$65+(12*(K$34-K$65))/31</f>
        <v>0.8443548387096774</v>
      </c>
    </row>
    <row r="54" spans="9:11" ht="18">
      <c r="I54" s="4">
        <f t="shared" si="1"/>
        <v>43606</v>
      </c>
      <c r="K54" s="20">
        <f>K$65+(11*(K$34-K$65))/31</f>
        <v>0.8406586021505377</v>
      </c>
    </row>
    <row r="55" spans="9:11" ht="18">
      <c r="I55" s="4">
        <f t="shared" si="1"/>
        <v>43607</v>
      </c>
      <c r="K55" s="20">
        <f>K$65+(10*(K$34-K$65))/31</f>
        <v>0.8369623655913979</v>
      </c>
    </row>
    <row r="56" spans="9:11" ht="18">
      <c r="I56" s="4">
        <f t="shared" si="1"/>
        <v>43608</v>
      </c>
      <c r="K56" s="20">
        <f>K$65+(9*(K$34-K$65))/31</f>
        <v>0.833266129032258</v>
      </c>
    </row>
    <row r="57" spans="9:11" ht="18">
      <c r="I57" s="4">
        <f t="shared" si="1"/>
        <v>43609</v>
      </c>
      <c r="K57" s="20">
        <f>K$65+(8*(K$34-K$65))/31</f>
        <v>0.8295698924731183</v>
      </c>
    </row>
    <row r="58" spans="9:11" ht="18">
      <c r="I58" s="4">
        <f t="shared" si="1"/>
        <v>43610</v>
      </c>
      <c r="K58" s="20">
        <f>K$65+(7*(K$34-K$65))/31</f>
        <v>0.8258736559139785</v>
      </c>
    </row>
    <row r="59" spans="9:11" ht="18">
      <c r="I59" s="4">
        <f t="shared" si="1"/>
        <v>43611</v>
      </c>
      <c r="K59" s="20">
        <f>K$65+(6*(K$34-K$65))/31</f>
        <v>0.8221774193548388</v>
      </c>
    </row>
    <row r="60" spans="9:11" ht="18">
      <c r="I60" s="4">
        <f t="shared" si="1"/>
        <v>43612</v>
      </c>
      <c r="K60" s="20">
        <f>K$65+(5*(K$34-K$65))/31</f>
        <v>0.8184811827956989</v>
      </c>
    </row>
    <row r="61" spans="9:11" ht="18">
      <c r="I61" s="4">
        <f t="shared" si="1"/>
        <v>43613</v>
      </c>
      <c r="K61" s="20">
        <f>K$65+(4*(K$34-K$65))/31</f>
        <v>0.8147849462365592</v>
      </c>
    </row>
    <row r="62" spans="9:11" ht="18">
      <c r="I62" s="4">
        <f t="shared" si="1"/>
        <v>43614</v>
      </c>
      <c r="K62" s="20">
        <f>K$65+(3*(K$34-K$65))/31</f>
        <v>0.8110887096774194</v>
      </c>
    </row>
    <row r="63" spans="9:11" ht="18">
      <c r="I63" s="4">
        <f t="shared" si="1"/>
        <v>43615</v>
      </c>
      <c r="K63" s="20">
        <f>K$65+(2*(K$34-K$65))/31</f>
        <v>0.8073924731182797</v>
      </c>
    </row>
    <row r="64" spans="9:11" ht="18">
      <c r="I64" s="4">
        <f t="shared" si="1"/>
        <v>43616</v>
      </c>
      <c r="K64" s="20">
        <f>K$65+(1*(K$34-K$65))/31</f>
        <v>0.8036962365591398</v>
      </c>
    </row>
    <row r="65" spans="9:11" ht="18">
      <c r="I65" s="4">
        <f t="shared" si="1"/>
        <v>43617</v>
      </c>
      <c r="K65" s="20">
        <f>O6</f>
        <v>0.8</v>
      </c>
    </row>
    <row r="66" spans="9:11" ht="18">
      <c r="I66" s="4">
        <f t="shared" si="1"/>
        <v>43618</v>
      </c>
      <c r="K66" s="20">
        <f>K$95+(29*(K$65-K$95))/30</f>
        <v>0.7954861111111111</v>
      </c>
    </row>
    <row r="67" spans="9:11" ht="18">
      <c r="I67" s="4">
        <f t="shared" si="1"/>
        <v>43619</v>
      </c>
      <c r="K67" s="20">
        <f>K$95+(28*(K$65-K$95))/30</f>
        <v>0.7909722222222223</v>
      </c>
    </row>
    <row r="68" spans="9:11" ht="18">
      <c r="I68" s="4">
        <f t="shared" si="1"/>
        <v>43620</v>
      </c>
      <c r="K68" s="20">
        <f>K$95+(27*(K$65-K$95))/30</f>
        <v>0.7864583333333334</v>
      </c>
    </row>
    <row r="69" spans="9:11" ht="18">
      <c r="I69" s="4">
        <f t="shared" si="1"/>
        <v>43621</v>
      </c>
      <c r="K69" s="20">
        <f>K$95+(26*(K$65-K$95))/30</f>
        <v>0.7819444444444444</v>
      </c>
    </row>
    <row r="70" spans="9:11" ht="18">
      <c r="I70" s="4">
        <f aca="true" t="shared" si="3" ref="I70:I133">I69+1</f>
        <v>43622</v>
      </c>
      <c r="K70" s="20">
        <f>K$95+(25*(K$65-K$95))/30</f>
        <v>0.7774305555555556</v>
      </c>
    </row>
    <row r="71" spans="9:11" ht="18">
      <c r="I71" s="4">
        <f t="shared" si="3"/>
        <v>43623</v>
      </c>
      <c r="K71" s="20">
        <f>K$95+(24*(K$65-K$95))/30</f>
        <v>0.7729166666666667</v>
      </c>
    </row>
    <row r="72" spans="9:11" ht="18">
      <c r="I72" s="4">
        <f t="shared" si="3"/>
        <v>43624</v>
      </c>
      <c r="K72" s="20">
        <f>K$95+(23*(K$65-K$95))/30</f>
        <v>0.7684027777777778</v>
      </c>
    </row>
    <row r="73" spans="9:11" ht="18">
      <c r="I73" s="4">
        <f t="shared" si="3"/>
        <v>43625</v>
      </c>
      <c r="K73" s="20">
        <f>K$95+(22*(K$65-K$95))/30</f>
        <v>0.763888888888889</v>
      </c>
    </row>
    <row r="74" spans="9:11" ht="18">
      <c r="I74" s="4">
        <f t="shared" si="3"/>
        <v>43626</v>
      </c>
      <c r="K74" s="20">
        <f>K$95+(21*(K$65-K$95))/30</f>
        <v>0.759375</v>
      </c>
    </row>
    <row r="75" spans="9:11" ht="18">
      <c r="I75" s="4">
        <f t="shared" si="3"/>
        <v>43627</v>
      </c>
      <c r="K75" s="20">
        <f>K$95+(20*(K$65-K$95))/30</f>
        <v>0.7548611111111111</v>
      </c>
    </row>
    <row r="76" spans="9:11" ht="18">
      <c r="I76" s="4">
        <f t="shared" si="3"/>
        <v>43628</v>
      </c>
      <c r="K76" s="20">
        <f>K$95+(19*(K$65-K$95))/30</f>
        <v>0.7503472222222223</v>
      </c>
    </row>
    <row r="77" spans="9:11" ht="18">
      <c r="I77" s="4">
        <f t="shared" si="3"/>
        <v>43629</v>
      </c>
      <c r="K77" s="20">
        <f>K$95+(18*(K$65-K$95))/30</f>
        <v>0.7458333333333333</v>
      </c>
    </row>
    <row r="78" spans="9:11" ht="18">
      <c r="I78" s="4">
        <f t="shared" si="3"/>
        <v>43630</v>
      </c>
      <c r="K78" s="20">
        <f>K$95+(17*(K$65-K$95))/30</f>
        <v>0.7413194444444444</v>
      </c>
    </row>
    <row r="79" spans="9:11" ht="18">
      <c r="I79" s="4">
        <f t="shared" si="3"/>
        <v>43631</v>
      </c>
      <c r="K79" s="20">
        <f>K$95+(16*(K$65-K$95))/30</f>
        <v>0.7368055555555556</v>
      </c>
    </row>
    <row r="80" spans="9:11" ht="18">
      <c r="I80" s="4">
        <f t="shared" si="3"/>
        <v>43632</v>
      </c>
      <c r="K80" s="20">
        <f>K$95+(15*(K$65-K$95))/30</f>
        <v>0.7322916666666667</v>
      </c>
    </row>
    <row r="81" spans="9:11" ht="18">
      <c r="I81" s="4">
        <f t="shared" si="3"/>
        <v>43633</v>
      </c>
      <c r="K81" s="20">
        <f>K$95+(14*(K$65-K$95))/30</f>
        <v>0.7277777777777777</v>
      </c>
    </row>
    <row r="82" spans="9:11" ht="18">
      <c r="I82" s="4">
        <f t="shared" si="3"/>
        <v>43634</v>
      </c>
      <c r="K82" s="20">
        <f>K$95+(13*(K$65-K$95))/30</f>
        <v>0.7232638888888889</v>
      </c>
    </row>
    <row r="83" spans="9:11" ht="18">
      <c r="I83" s="4">
        <f t="shared" si="3"/>
        <v>43635</v>
      </c>
      <c r="K83" s="20">
        <f>K$95+(12*(K$65-K$95))/30</f>
        <v>0.71875</v>
      </c>
    </row>
    <row r="84" spans="9:11" ht="18">
      <c r="I84" s="4">
        <f t="shared" si="3"/>
        <v>43636</v>
      </c>
      <c r="K84" s="20">
        <f>K$95+(11*(K$65-K$95))/30</f>
        <v>0.7142361111111111</v>
      </c>
    </row>
    <row r="85" spans="9:11" ht="18">
      <c r="I85" s="4">
        <f t="shared" si="3"/>
        <v>43637</v>
      </c>
      <c r="K85" s="20">
        <f>K$95+(10*(K$65-K$95))/30</f>
        <v>0.7097222222222223</v>
      </c>
    </row>
    <row r="86" spans="9:11" ht="18">
      <c r="I86" s="4">
        <f t="shared" si="3"/>
        <v>43638</v>
      </c>
      <c r="K86" s="20">
        <f>K$95+(9*(K$65-K$95))/30</f>
        <v>0.7052083333333333</v>
      </c>
    </row>
    <row r="87" spans="9:11" ht="18">
      <c r="I87" s="4">
        <f t="shared" si="3"/>
        <v>43639</v>
      </c>
      <c r="K87" s="20">
        <f>K$95+(8*(K$65-K$95))/30</f>
        <v>0.7006944444444444</v>
      </c>
    </row>
    <row r="88" spans="9:11" ht="18">
      <c r="I88" s="4">
        <f t="shared" si="3"/>
        <v>43640</v>
      </c>
      <c r="K88" s="20">
        <f>K$95+(7*(K$65-K$95))/30</f>
        <v>0.6961805555555556</v>
      </c>
    </row>
    <row r="89" spans="9:11" ht="18">
      <c r="I89" s="4">
        <f t="shared" si="3"/>
        <v>43641</v>
      </c>
      <c r="K89" s="20">
        <f>K$95+(6*(K$65-K$95))/30</f>
        <v>0.6916666666666667</v>
      </c>
    </row>
    <row r="90" spans="9:11" ht="18">
      <c r="I90" s="4">
        <f t="shared" si="3"/>
        <v>43642</v>
      </c>
      <c r="K90" s="20">
        <f>K$95+(5*(K$65-K$95))/30</f>
        <v>0.6871527777777777</v>
      </c>
    </row>
    <row r="91" spans="9:11" ht="18">
      <c r="I91" s="4">
        <f t="shared" si="3"/>
        <v>43643</v>
      </c>
      <c r="K91" s="20">
        <f>K$95+(4*(K$65-K$95))/30</f>
        <v>0.6826388888888889</v>
      </c>
    </row>
    <row r="92" spans="9:11" ht="18">
      <c r="I92" s="4">
        <f t="shared" si="3"/>
        <v>43644</v>
      </c>
      <c r="K92" s="20">
        <f>K$95+(3*(K$65-K$95))/30</f>
        <v>0.678125</v>
      </c>
    </row>
    <row r="93" spans="9:11" ht="18">
      <c r="I93" s="4">
        <f t="shared" si="3"/>
        <v>43645</v>
      </c>
      <c r="K93" s="20">
        <f>K$95+(2*(K$65-K$95))/30</f>
        <v>0.673611111111111</v>
      </c>
    </row>
    <row r="94" spans="9:11" ht="18">
      <c r="I94" s="4">
        <f t="shared" si="3"/>
        <v>43646</v>
      </c>
      <c r="K94" s="20">
        <f>K$95+(1*(K$65-K$95))/30</f>
        <v>0.6690972222222222</v>
      </c>
    </row>
    <row r="95" spans="9:11" ht="18">
      <c r="I95" s="4">
        <f t="shared" si="3"/>
        <v>43647</v>
      </c>
      <c r="K95" s="20">
        <f>P6</f>
        <v>0.6645833333333333</v>
      </c>
    </row>
    <row r="96" spans="9:11" ht="18">
      <c r="I96" s="4">
        <f t="shared" si="3"/>
        <v>43648</v>
      </c>
      <c r="K96" s="20">
        <f>K$126+(30*(K$95-K$126))/31</f>
        <v>0.6602150537634408</v>
      </c>
    </row>
    <row r="97" spans="9:11" ht="18">
      <c r="I97" s="4">
        <f t="shared" si="3"/>
        <v>43649</v>
      </c>
      <c r="K97" s="20">
        <f>K$126+(29*(K$95-K$126))/31</f>
        <v>0.6558467741935483</v>
      </c>
    </row>
    <row r="98" spans="9:11" ht="18">
      <c r="I98" s="4">
        <f t="shared" si="3"/>
        <v>43650</v>
      </c>
      <c r="K98" s="20">
        <f>K$126+(28*(K$95-K$126))/31</f>
        <v>0.6514784946236559</v>
      </c>
    </row>
    <row r="99" spans="9:11" ht="18">
      <c r="I99" s="4">
        <f t="shared" si="3"/>
        <v>43651</v>
      </c>
      <c r="K99" s="20">
        <f>K$126+(27*(K$95-K$126))/31</f>
        <v>0.6471102150537634</v>
      </c>
    </row>
    <row r="100" spans="9:11" ht="18">
      <c r="I100" s="4">
        <f t="shared" si="3"/>
        <v>43652</v>
      </c>
      <c r="K100" s="20">
        <f>K$126+(26*(K$95-K$126))/31</f>
        <v>0.6427419354838709</v>
      </c>
    </row>
    <row r="101" spans="9:11" ht="18">
      <c r="I101" s="4">
        <f t="shared" si="3"/>
        <v>43653</v>
      </c>
      <c r="K101" s="20">
        <f>K$126+(25*(K$95-K$126))/31</f>
        <v>0.6383736559139784</v>
      </c>
    </row>
    <row r="102" spans="9:11" ht="18">
      <c r="I102" s="4">
        <f t="shared" si="3"/>
        <v>43654</v>
      </c>
      <c r="K102" s="20">
        <f>K$126+(24*(K$95-K$126))/31</f>
        <v>0.634005376344086</v>
      </c>
    </row>
    <row r="103" spans="9:11" ht="18">
      <c r="I103" s="4">
        <f t="shared" si="3"/>
        <v>43655</v>
      </c>
      <c r="K103" s="20">
        <f>K$126+(23*(K$95-K$126))/31</f>
        <v>0.6296370967741935</v>
      </c>
    </row>
    <row r="104" spans="9:11" ht="18">
      <c r="I104" s="4">
        <f t="shared" si="3"/>
        <v>43656</v>
      </c>
      <c r="K104" s="20">
        <f>K$126+(22*(K$95-K$126))/31</f>
        <v>0.625268817204301</v>
      </c>
    </row>
    <row r="105" spans="9:11" ht="18">
      <c r="I105" s="4">
        <f t="shared" si="3"/>
        <v>43657</v>
      </c>
      <c r="K105" s="20">
        <f>K$126+(21*(K$95-K$126))/31</f>
        <v>0.6209005376344086</v>
      </c>
    </row>
    <row r="106" spans="9:11" ht="18">
      <c r="I106" s="4">
        <f t="shared" si="3"/>
        <v>43658</v>
      </c>
      <c r="K106" s="20">
        <f>K$126+(20*(K$95-K$126))/31</f>
        <v>0.6165322580645161</v>
      </c>
    </row>
    <row r="107" spans="9:11" ht="18">
      <c r="I107" s="4">
        <f t="shared" si="3"/>
        <v>43659</v>
      </c>
      <c r="K107" s="20">
        <f>K$126+(19*(K$95-K$126))/31</f>
        <v>0.6121639784946237</v>
      </c>
    </row>
    <row r="108" spans="9:11" ht="18">
      <c r="I108" s="4">
        <f t="shared" si="3"/>
        <v>43660</v>
      </c>
      <c r="K108" s="20">
        <f>K$126+(18*(K$95-K$126))/31</f>
        <v>0.6077956989247312</v>
      </c>
    </row>
    <row r="109" spans="9:11" ht="18">
      <c r="I109" s="4">
        <f t="shared" si="3"/>
        <v>43661</v>
      </c>
      <c r="K109" s="20">
        <f>K$126+(17*(K$95-K$126))/31</f>
        <v>0.6034274193548387</v>
      </c>
    </row>
    <row r="110" spans="9:11" ht="18">
      <c r="I110" s="4">
        <f t="shared" si="3"/>
        <v>43662</v>
      </c>
      <c r="K110" s="20">
        <f>K$126+(16*(K$95-K$126))/31</f>
        <v>0.5990591397849462</v>
      </c>
    </row>
    <row r="111" spans="9:11" ht="18">
      <c r="I111" s="4">
        <f t="shared" si="3"/>
        <v>43663</v>
      </c>
      <c r="K111" s="20">
        <f>K$126+(15*(K$95-K$126))/31</f>
        <v>0.5946908602150538</v>
      </c>
    </row>
    <row r="112" spans="9:11" ht="18">
      <c r="I112" s="4">
        <f t="shared" si="3"/>
        <v>43664</v>
      </c>
      <c r="K112" s="20">
        <f>K$126+(14*(K$95-K$126))/31</f>
        <v>0.5903225806451613</v>
      </c>
    </row>
    <row r="113" spans="9:11" ht="18">
      <c r="I113" s="4">
        <f t="shared" si="3"/>
        <v>43665</v>
      </c>
      <c r="K113" s="20">
        <f>K$126+(13*(K$95-K$126))/31</f>
        <v>0.5859543010752688</v>
      </c>
    </row>
    <row r="114" spans="9:11" ht="18">
      <c r="I114" s="4">
        <f t="shared" si="3"/>
        <v>43666</v>
      </c>
      <c r="K114" s="20">
        <f>K$126+(12*(K$95-K$126))/31</f>
        <v>0.5815860215053763</v>
      </c>
    </row>
    <row r="115" spans="9:11" ht="18">
      <c r="I115" s="4">
        <f t="shared" si="3"/>
        <v>43667</v>
      </c>
      <c r="K115" s="20">
        <f>K$126+(11*(K$95-K$126))/31</f>
        <v>0.5772177419354839</v>
      </c>
    </row>
    <row r="116" spans="9:11" ht="18">
      <c r="I116" s="4">
        <f t="shared" si="3"/>
        <v>43668</v>
      </c>
      <c r="K116" s="20">
        <f>K$126+(10*(K$95-K$126))/31</f>
        <v>0.5728494623655914</v>
      </c>
    </row>
    <row r="117" spans="9:11" ht="18">
      <c r="I117" s="4">
        <f t="shared" si="3"/>
        <v>43669</v>
      </c>
      <c r="K117" s="20">
        <f>K$126+(9*(K$95-K$126))/31</f>
        <v>0.5684811827956989</v>
      </c>
    </row>
    <row r="118" spans="9:11" ht="18">
      <c r="I118" s="4">
        <f t="shared" si="3"/>
        <v>43670</v>
      </c>
      <c r="K118" s="20">
        <f>K$126+(8*(K$95-K$126))/31</f>
        <v>0.5641129032258064</v>
      </c>
    </row>
    <row r="119" spans="9:11" ht="18">
      <c r="I119" s="4">
        <f t="shared" si="3"/>
        <v>43671</v>
      </c>
      <c r="K119" s="20">
        <f>K$126+(7*(K$95-K$126))/31</f>
        <v>0.5597446236559139</v>
      </c>
    </row>
    <row r="120" spans="9:11" ht="18">
      <c r="I120" s="4">
        <f t="shared" si="3"/>
        <v>43672</v>
      </c>
      <c r="K120" s="20">
        <f>K$126+(6*(K$95-K$126))/31</f>
        <v>0.5553763440860215</v>
      </c>
    </row>
    <row r="121" spans="9:11" ht="18">
      <c r="I121" s="4">
        <f t="shared" si="3"/>
        <v>43673</v>
      </c>
      <c r="K121" s="20">
        <f>K$126+(5*(K$95-K$126))/31</f>
        <v>0.551008064516129</v>
      </c>
    </row>
    <row r="122" spans="9:11" ht="18">
      <c r="I122" s="4">
        <f t="shared" si="3"/>
        <v>43674</v>
      </c>
      <c r="K122" s="20">
        <f>K$126+(4*(K$95-K$126))/31</f>
        <v>0.5466397849462366</v>
      </c>
    </row>
    <row r="123" spans="9:11" ht="18">
      <c r="I123" s="4">
        <f t="shared" si="3"/>
        <v>43675</v>
      </c>
      <c r="K123" s="20">
        <f>K$126+(3*(K$95-K$126))/31</f>
        <v>0.542271505376344</v>
      </c>
    </row>
    <row r="124" spans="9:11" ht="18">
      <c r="I124" s="4">
        <f t="shared" si="3"/>
        <v>43676</v>
      </c>
      <c r="K124" s="20">
        <f>K$126+(2*(K$95-K$126))/31</f>
        <v>0.5379032258064517</v>
      </c>
    </row>
    <row r="125" spans="9:11" ht="18">
      <c r="I125" s="4">
        <f t="shared" si="3"/>
        <v>43677</v>
      </c>
      <c r="K125" s="20">
        <f>K$126+(1*(K$95-K$126))/31</f>
        <v>0.5335349462365592</v>
      </c>
    </row>
    <row r="126" spans="9:11" ht="18">
      <c r="I126" s="4">
        <f t="shared" si="3"/>
        <v>43678</v>
      </c>
      <c r="K126" s="20">
        <f>Q6</f>
        <v>0.5291666666666667</v>
      </c>
    </row>
    <row r="127" spans="9:11" ht="18">
      <c r="I127" s="4">
        <f t="shared" si="3"/>
        <v>43679</v>
      </c>
      <c r="K127" s="20">
        <f>K$157+(30*(K$126-K$157))/31</f>
        <v>0.5247983870967742</v>
      </c>
    </row>
    <row r="128" spans="9:11" ht="18">
      <c r="I128" s="4">
        <f t="shared" si="3"/>
        <v>43680</v>
      </c>
      <c r="K128" s="20">
        <f>K$157+(29*(K$126-K$157))/31</f>
        <v>0.5204301075268818</v>
      </c>
    </row>
    <row r="129" spans="9:11" ht="18">
      <c r="I129" s="4">
        <f t="shared" si="3"/>
        <v>43681</v>
      </c>
      <c r="K129" s="20">
        <f>K$157+(28*(K$126-K$157))/31</f>
        <v>0.5160618279569893</v>
      </c>
    </row>
    <row r="130" spans="9:11" ht="18">
      <c r="I130" s="4">
        <f t="shared" si="3"/>
        <v>43682</v>
      </c>
      <c r="K130" s="20">
        <f>K$157+(27*(K$126-K$157))/31</f>
        <v>0.5116935483870968</v>
      </c>
    </row>
    <row r="131" spans="9:11" ht="18">
      <c r="I131" s="4">
        <f t="shared" si="3"/>
        <v>43683</v>
      </c>
      <c r="K131" s="20">
        <f>K$157+(26*(K$126-K$157))/31</f>
        <v>0.5073252688172043</v>
      </c>
    </row>
    <row r="132" spans="9:11" ht="18">
      <c r="I132" s="4">
        <f t="shared" si="3"/>
        <v>43684</v>
      </c>
      <c r="K132" s="20">
        <f>K$157+(25*(K$126-K$157))/31</f>
        <v>0.5029569892473118</v>
      </c>
    </row>
    <row r="133" spans="9:11" ht="18">
      <c r="I133" s="4">
        <f t="shared" si="3"/>
        <v>43685</v>
      </c>
      <c r="K133" s="20">
        <f>K$157+(24*(K$126-K$157))/31</f>
        <v>0.49858870967741936</v>
      </c>
    </row>
    <row r="134" spans="9:11" ht="18">
      <c r="I134" s="4">
        <f aca="true" t="shared" si="4" ref="I134:I197">I133+1</f>
        <v>43686</v>
      </c>
      <c r="K134" s="20">
        <f>K$157+(23*(K$126-K$157))/31</f>
        <v>0.4942204301075269</v>
      </c>
    </row>
    <row r="135" spans="9:11" ht="18">
      <c r="I135" s="4">
        <f t="shared" si="4"/>
        <v>43687</v>
      </c>
      <c r="K135" s="20">
        <f>K$157+(22*(K$126-K$157))/31</f>
        <v>0.4898521505376344</v>
      </c>
    </row>
    <row r="136" spans="9:11" ht="18">
      <c r="I136" s="4">
        <f t="shared" si="4"/>
        <v>43688</v>
      </c>
      <c r="K136" s="20">
        <f>K$157+(21*(K$126-K$157))/31</f>
        <v>0.4854838709677419</v>
      </c>
    </row>
    <row r="137" spans="9:11" ht="18">
      <c r="I137" s="4">
        <f t="shared" si="4"/>
        <v>43689</v>
      </c>
      <c r="K137" s="20">
        <f>K$157+(20*(K$126-K$157))/31</f>
        <v>0.4811155913978495</v>
      </c>
    </row>
    <row r="138" spans="9:11" ht="18">
      <c r="I138" s="4">
        <f t="shared" si="4"/>
        <v>43690</v>
      </c>
      <c r="K138" s="20">
        <f>K$157+(19*(K$126-K$157))/31</f>
        <v>0.476747311827957</v>
      </c>
    </row>
    <row r="139" spans="9:11" ht="18">
      <c r="I139" s="4">
        <f t="shared" si="4"/>
        <v>43691</v>
      </c>
      <c r="K139" s="20">
        <f>K$157+(18*(K$126-K$157))/31</f>
        <v>0.47237903225806455</v>
      </c>
    </row>
    <row r="140" spans="9:11" ht="18">
      <c r="I140" s="4">
        <f t="shared" si="4"/>
        <v>43692</v>
      </c>
      <c r="K140" s="20">
        <f>K$157+(17*(K$126-K$157))/31</f>
        <v>0.46801075268817205</v>
      </c>
    </row>
    <row r="141" spans="9:11" ht="18">
      <c r="I141" s="4">
        <f t="shared" si="4"/>
        <v>43693</v>
      </c>
      <c r="K141" s="20">
        <f>K$157+(16*(K$126-K$157))/31</f>
        <v>0.46364247311827955</v>
      </c>
    </row>
    <row r="142" spans="9:11" ht="18">
      <c r="I142" s="4">
        <f t="shared" si="4"/>
        <v>43694</v>
      </c>
      <c r="K142" s="20">
        <f>K$157+(15*(K$126-K$157))/31</f>
        <v>0.4592741935483871</v>
      </c>
    </row>
    <row r="143" spans="9:11" ht="18">
      <c r="I143" s="4">
        <f t="shared" si="4"/>
        <v>43695</v>
      </c>
      <c r="K143" s="20">
        <f>K$157+(14*(K$126-K$157))/31</f>
        <v>0.4549059139784946</v>
      </c>
    </row>
    <row r="144" spans="9:11" ht="18">
      <c r="I144" s="4">
        <f t="shared" si="4"/>
        <v>43696</v>
      </c>
      <c r="K144" s="20">
        <f>K$157+(13*(K$126-K$157))/31</f>
        <v>0.4505376344086022</v>
      </c>
    </row>
    <row r="145" spans="9:11" ht="18">
      <c r="I145" s="4">
        <f t="shared" si="4"/>
        <v>43697</v>
      </c>
      <c r="K145" s="20">
        <f>K$157+(12*(K$126-K$157))/31</f>
        <v>0.4461693548387097</v>
      </c>
    </row>
    <row r="146" spans="9:11" ht="18">
      <c r="I146" s="4">
        <f t="shared" si="4"/>
        <v>43698</v>
      </c>
      <c r="K146" s="20">
        <f>K$157+(11*(K$126-K$157))/31</f>
        <v>0.4418010752688172</v>
      </c>
    </row>
    <row r="147" spans="9:11" ht="18">
      <c r="I147" s="4">
        <f t="shared" si="4"/>
        <v>43699</v>
      </c>
      <c r="K147" s="20">
        <f>K$157+(10*(K$126-K$157))/31</f>
        <v>0.43743279569892474</v>
      </c>
    </row>
    <row r="148" spans="9:11" ht="18">
      <c r="I148" s="4">
        <f t="shared" si="4"/>
        <v>43700</v>
      </c>
      <c r="K148" s="20">
        <f>K$157+(9*(K$126-K$157))/31</f>
        <v>0.43306451612903224</v>
      </c>
    </row>
    <row r="149" spans="9:11" ht="18">
      <c r="I149" s="4">
        <f t="shared" si="4"/>
        <v>43701</v>
      </c>
      <c r="K149" s="20">
        <f>K$157+(8*(K$126-K$157))/31</f>
        <v>0.4286962365591398</v>
      </c>
    </row>
    <row r="150" spans="9:11" ht="18">
      <c r="I150" s="4">
        <f t="shared" si="4"/>
        <v>43702</v>
      </c>
      <c r="K150" s="20">
        <f>K$157+(7*(K$126-K$157))/31</f>
        <v>0.4243279569892473</v>
      </c>
    </row>
    <row r="151" spans="9:11" ht="18">
      <c r="I151" s="4">
        <f t="shared" si="4"/>
        <v>43703</v>
      </c>
      <c r="K151" s="20">
        <f>K$157+(6*(K$126-K$157))/31</f>
        <v>0.4199596774193548</v>
      </c>
    </row>
    <row r="152" spans="9:11" ht="18">
      <c r="I152" s="4">
        <f t="shared" si="4"/>
        <v>43704</v>
      </c>
      <c r="K152" s="20">
        <f>K$157+(5*(K$126-K$157))/31</f>
        <v>0.41559139784946236</v>
      </c>
    </row>
    <row r="153" spans="9:11" ht="18">
      <c r="I153" s="4">
        <f t="shared" si="4"/>
        <v>43705</v>
      </c>
      <c r="K153" s="20">
        <f>K$157+(4*(K$126-K$157))/31</f>
        <v>0.41122311827956987</v>
      </c>
    </row>
    <row r="154" spans="9:11" ht="18">
      <c r="I154" s="4">
        <f t="shared" si="4"/>
        <v>43706</v>
      </c>
      <c r="K154" s="20">
        <f>K$157+(3*(K$126-K$157))/31</f>
        <v>0.4068548387096774</v>
      </c>
    </row>
    <row r="155" spans="9:11" ht="18">
      <c r="I155" s="4">
        <f t="shared" si="4"/>
        <v>43707</v>
      </c>
      <c r="K155" s="20">
        <f>K$157+(2*(K$126-K$157))/31</f>
        <v>0.4024865591397849</v>
      </c>
    </row>
    <row r="156" spans="9:11" ht="18">
      <c r="I156" s="4">
        <f t="shared" si="4"/>
        <v>43708</v>
      </c>
      <c r="K156" s="20">
        <f>K$157+(1*(K$126-K$157))/31</f>
        <v>0.3981182795698925</v>
      </c>
    </row>
    <row r="157" spans="9:11" ht="18">
      <c r="I157" s="4">
        <f t="shared" si="4"/>
        <v>43709</v>
      </c>
      <c r="K157" s="20">
        <f>R6</f>
        <v>0.39375</v>
      </c>
    </row>
    <row r="158" spans="9:11" ht="18">
      <c r="I158" s="4">
        <f t="shared" si="4"/>
        <v>43710</v>
      </c>
      <c r="K158" s="20">
        <f>K$187+(29*(K$157-K$187))/30</f>
        <v>0.38993055555555556</v>
      </c>
    </row>
    <row r="159" spans="9:11" ht="18">
      <c r="I159" s="4">
        <f t="shared" si="4"/>
        <v>43711</v>
      </c>
      <c r="K159" s="20">
        <f>K$187+(28*(K$157-K$187))/30</f>
        <v>0.3861111111111111</v>
      </c>
    </row>
    <row r="160" spans="9:11" ht="18">
      <c r="I160" s="4">
        <f t="shared" si="4"/>
        <v>43712</v>
      </c>
      <c r="K160" s="20">
        <f>K$187+(27*(K$157-K$187))/30</f>
        <v>0.38229166666666664</v>
      </c>
    </row>
    <row r="161" spans="9:11" ht="18">
      <c r="I161" s="4">
        <f t="shared" si="4"/>
        <v>43713</v>
      </c>
      <c r="K161" s="20">
        <f>K$187+(26*(K$157-K$187))/30</f>
        <v>0.3784722222222222</v>
      </c>
    </row>
    <row r="162" spans="9:11" ht="18">
      <c r="I162" s="4">
        <f t="shared" si="4"/>
        <v>43714</v>
      </c>
      <c r="K162" s="20">
        <f>K$187+(25*(K$157-K$187))/30</f>
        <v>0.3746527777777778</v>
      </c>
    </row>
    <row r="163" spans="9:11" ht="18">
      <c r="I163" s="4">
        <f t="shared" si="4"/>
        <v>43715</v>
      </c>
      <c r="K163" s="20">
        <f>K$187+(24*(K$157-K$187))/30</f>
        <v>0.37083333333333335</v>
      </c>
    </row>
    <row r="164" spans="9:11" ht="18">
      <c r="I164" s="4">
        <f t="shared" si="4"/>
        <v>43716</v>
      </c>
      <c r="K164" s="20">
        <f>K$187+(23*(K$157-K$187))/30</f>
        <v>0.36701388888888886</v>
      </c>
    </row>
    <row r="165" spans="9:11" ht="18">
      <c r="I165" s="4">
        <f t="shared" si="4"/>
        <v>43717</v>
      </c>
      <c r="K165" s="20">
        <f>K$187+(22*(K$157-K$187))/30</f>
        <v>0.36319444444444443</v>
      </c>
    </row>
    <row r="166" spans="9:11" ht="18">
      <c r="I166" s="4">
        <f t="shared" si="4"/>
        <v>43718</v>
      </c>
      <c r="K166" s="20">
        <f>K$187+(21*(K$157-K$187))/30</f>
        <v>0.359375</v>
      </c>
    </row>
    <row r="167" spans="9:11" ht="18">
      <c r="I167" s="4">
        <f t="shared" si="4"/>
        <v>43719</v>
      </c>
      <c r="K167" s="20">
        <f>K$187+(20*(K$157-K$187))/30</f>
        <v>0.3555555555555555</v>
      </c>
    </row>
    <row r="168" spans="9:11" ht="18">
      <c r="I168" s="4">
        <f t="shared" si="4"/>
        <v>43720</v>
      </c>
      <c r="K168" s="20">
        <f>K$187+(19*(K$157-K$187))/30</f>
        <v>0.35173611111111114</v>
      </c>
    </row>
    <row r="169" spans="9:11" ht="18">
      <c r="I169" s="4">
        <f t="shared" si="4"/>
        <v>43721</v>
      </c>
      <c r="K169" s="20">
        <f>K$187+(18*(K$157-K$187))/30</f>
        <v>0.34791666666666665</v>
      </c>
    </row>
    <row r="170" spans="9:11" ht="18">
      <c r="I170" s="4">
        <f t="shared" si="4"/>
        <v>43722</v>
      </c>
      <c r="K170" s="20">
        <f>K$187+(17*(K$157-K$187))/30</f>
        <v>0.3440972222222222</v>
      </c>
    </row>
    <row r="171" spans="9:11" ht="18">
      <c r="I171" s="4">
        <f t="shared" si="4"/>
        <v>43723</v>
      </c>
      <c r="K171" s="20">
        <f>K$187+(16*(K$157-K$187))/30</f>
        <v>0.3402777777777778</v>
      </c>
    </row>
    <row r="172" spans="9:11" ht="18">
      <c r="I172" s="4">
        <f t="shared" si="4"/>
        <v>43724</v>
      </c>
      <c r="K172" s="20">
        <f>K$187+(15*(K$157-K$187))/30</f>
        <v>0.3364583333333333</v>
      </c>
    </row>
    <row r="173" spans="9:11" ht="18">
      <c r="I173" s="4">
        <f t="shared" si="4"/>
        <v>43725</v>
      </c>
      <c r="K173" s="20">
        <f>K$187+(14*(K$157-K$187))/30</f>
        <v>0.3326388888888889</v>
      </c>
    </row>
    <row r="174" spans="9:11" ht="18">
      <c r="I174" s="4">
        <f t="shared" si="4"/>
        <v>43726</v>
      </c>
      <c r="K174" s="20">
        <f>K$187+(13*(K$157-K$187))/30</f>
        <v>0.32881944444444444</v>
      </c>
    </row>
    <row r="175" spans="9:11" ht="18">
      <c r="I175" s="4">
        <f t="shared" si="4"/>
        <v>43727</v>
      </c>
      <c r="K175" s="20">
        <f>K$187+(12*(K$157-K$187))/30</f>
        <v>0.325</v>
      </c>
    </row>
    <row r="176" spans="9:11" ht="18">
      <c r="I176" s="4">
        <f t="shared" si="4"/>
        <v>43728</v>
      </c>
      <c r="K176" s="20">
        <f>K$187+(11*(K$157-K$187))/30</f>
        <v>0.3211805555555556</v>
      </c>
    </row>
    <row r="177" spans="9:11" ht="18">
      <c r="I177" s="4">
        <f t="shared" si="4"/>
        <v>43729</v>
      </c>
      <c r="K177" s="20">
        <f>K$187+(10*(K$157-K$187))/30</f>
        <v>0.3173611111111111</v>
      </c>
    </row>
    <row r="178" spans="9:11" ht="18">
      <c r="I178" s="4">
        <f t="shared" si="4"/>
        <v>43730</v>
      </c>
      <c r="K178" s="20">
        <f>K$187+(9*(K$157-K$187))/30</f>
        <v>0.31354166666666666</v>
      </c>
    </row>
    <row r="179" spans="9:11" ht="18">
      <c r="I179" s="4">
        <f t="shared" si="4"/>
        <v>43731</v>
      </c>
      <c r="K179" s="20">
        <f>K$187+(8*(K$157-K$187))/30</f>
        <v>0.30972222222222223</v>
      </c>
    </row>
    <row r="180" spans="9:11" ht="18">
      <c r="I180" s="4">
        <f t="shared" si="4"/>
        <v>43732</v>
      </c>
      <c r="K180" s="20">
        <f>K$187+(7*(K$157-K$187))/30</f>
        <v>0.3059027777777778</v>
      </c>
    </row>
    <row r="181" spans="9:11" ht="18">
      <c r="I181" s="4">
        <f t="shared" si="4"/>
        <v>43733</v>
      </c>
      <c r="K181" s="20">
        <f>K$187+(6*(K$157-K$187))/30</f>
        <v>0.3020833333333333</v>
      </c>
    </row>
    <row r="182" spans="9:11" ht="18">
      <c r="I182" s="4">
        <f t="shared" si="4"/>
        <v>43734</v>
      </c>
      <c r="K182" s="20">
        <f>K$187+(5*(K$157-K$187))/30</f>
        <v>0.2982638888888889</v>
      </c>
    </row>
    <row r="183" spans="9:11" ht="18">
      <c r="I183" s="4">
        <f t="shared" si="4"/>
        <v>43735</v>
      </c>
      <c r="K183" s="20">
        <f>K$187+(4*(K$157-K$187))/30</f>
        <v>0.29444444444444445</v>
      </c>
    </row>
    <row r="184" spans="9:11" ht="18">
      <c r="I184" s="4">
        <f t="shared" si="4"/>
        <v>43736</v>
      </c>
      <c r="K184" s="20">
        <f>K$187+(3*(K$157-K$187))/30</f>
        <v>0.290625</v>
      </c>
    </row>
    <row r="185" spans="9:11" ht="18">
      <c r="I185" s="4">
        <f t="shared" si="4"/>
        <v>43737</v>
      </c>
      <c r="K185" s="20">
        <f>K$187+(2*(K$157-K$187))/30</f>
        <v>0.28680555555555554</v>
      </c>
    </row>
    <row r="186" spans="9:11" ht="18">
      <c r="I186" s="4">
        <f t="shared" si="4"/>
        <v>43738</v>
      </c>
      <c r="K186" s="20">
        <f>K$187+(1*(K$157-K$187))/30</f>
        <v>0.2829861111111111</v>
      </c>
    </row>
    <row r="187" spans="9:11" ht="18">
      <c r="I187" s="4">
        <f t="shared" si="4"/>
        <v>43739</v>
      </c>
      <c r="K187" s="20">
        <f>S6</f>
        <v>0.2791666666666667</v>
      </c>
    </row>
    <row r="188" spans="9:11" ht="18">
      <c r="I188" s="4">
        <f t="shared" si="4"/>
        <v>43740</v>
      </c>
      <c r="K188" s="20">
        <f>K$218+(30*(K$187-K$218))/31</f>
        <v>0.2764784946236559</v>
      </c>
    </row>
    <row r="189" spans="9:11" ht="18">
      <c r="I189" s="4">
        <f t="shared" si="4"/>
        <v>43741</v>
      </c>
      <c r="K189" s="20">
        <f>K$218+(29*(K$187-K$218))/31</f>
        <v>0.2737903225806452</v>
      </c>
    </row>
    <row r="190" spans="9:11" ht="18">
      <c r="I190" s="4">
        <f t="shared" si="4"/>
        <v>43742</v>
      </c>
      <c r="K190" s="20">
        <f>K$218+(28*(K$187-K$218))/31</f>
        <v>0.2711021505376344</v>
      </c>
    </row>
    <row r="191" spans="9:11" ht="18">
      <c r="I191" s="4">
        <f t="shared" si="4"/>
        <v>43743</v>
      </c>
      <c r="K191" s="20">
        <f>K$218+(27*(K$187-K$218))/31</f>
        <v>0.2684139784946237</v>
      </c>
    </row>
    <row r="192" spans="9:11" ht="18">
      <c r="I192" s="4">
        <f t="shared" si="4"/>
        <v>43744</v>
      </c>
      <c r="K192" s="20">
        <f>K$218+(26*(K$187-K$218))/31</f>
        <v>0.2657258064516129</v>
      </c>
    </row>
    <row r="193" spans="9:11" ht="18">
      <c r="I193" s="4">
        <f t="shared" si="4"/>
        <v>43745</v>
      </c>
      <c r="K193" s="20">
        <f>K$218+(25*(K$187-K$218))/31</f>
        <v>0.2630376344086022</v>
      </c>
    </row>
    <row r="194" spans="9:11" ht="18">
      <c r="I194" s="4">
        <f t="shared" si="4"/>
        <v>43746</v>
      </c>
      <c r="K194" s="20">
        <f>K$218+(24*(K$187-K$218))/31</f>
        <v>0.2603494623655914</v>
      </c>
    </row>
    <row r="195" spans="9:11" ht="18">
      <c r="I195" s="4">
        <f t="shared" si="4"/>
        <v>43747</v>
      </c>
      <c r="K195" s="20">
        <f>K$218+(23*(K$187-K$218))/31</f>
        <v>0.25766129032258067</v>
      </c>
    </row>
    <row r="196" spans="9:11" ht="18">
      <c r="I196" s="4">
        <f t="shared" si="4"/>
        <v>43748</v>
      </c>
      <c r="K196" s="20">
        <f>K$218+(22*(K$187-K$218))/31</f>
        <v>0.2549731182795699</v>
      </c>
    </row>
    <row r="197" spans="9:11" ht="18">
      <c r="I197" s="4">
        <f t="shared" si="4"/>
        <v>43749</v>
      </c>
      <c r="K197" s="20">
        <f>K$218+(21*(K$187-K$218))/31</f>
        <v>0.25228494623655917</v>
      </c>
    </row>
    <row r="198" spans="9:11" ht="18">
      <c r="I198" s="4">
        <f aca="true" t="shared" si="5" ref="I198:I248">I197+1</f>
        <v>43750</v>
      </c>
      <c r="K198" s="20">
        <f>K$218+(20*(K$187-K$218))/31</f>
        <v>0.2495967741935484</v>
      </c>
    </row>
    <row r="199" spans="9:11" ht="18">
      <c r="I199" s="4">
        <f t="shared" si="5"/>
        <v>43751</v>
      </c>
      <c r="K199" s="20">
        <f>K$218+(19*(K$187-K$218))/31</f>
        <v>0.24690860215053764</v>
      </c>
    </row>
    <row r="200" spans="9:11" ht="18">
      <c r="I200" s="4">
        <f t="shared" si="5"/>
        <v>43752</v>
      </c>
      <c r="K200" s="20">
        <f>K$218+(18*(K$187-K$218))/31</f>
        <v>0.2442204301075269</v>
      </c>
    </row>
    <row r="201" spans="9:11" ht="18">
      <c r="I201" s="4">
        <f t="shared" si="5"/>
        <v>43753</v>
      </c>
      <c r="K201" s="20">
        <f>K$218+(17*(K$187-K$218))/31</f>
        <v>0.24153225806451611</v>
      </c>
    </row>
    <row r="202" spans="9:11" ht="18">
      <c r="I202" s="4">
        <f t="shared" si="5"/>
        <v>43754</v>
      </c>
      <c r="K202" s="20">
        <f>K$218+(16*(K$187-K$218))/31</f>
        <v>0.23884408602150536</v>
      </c>
    </row>
    <row r="203" spans="9:11" ht="18">
      <c r="I203" s="4">
        <f t="shared" si="5"/>
        <v>43755</v>
      </c>
      <c r="K203" s="20">
        <f>K$218+(15*(K$187-K$218))/31</f>
        <v>0.2361559139784946</v>
      </c>
    </row>
    <row r="204" spans="9:11" ht="18">
      <c r="I204" s="4">
        <f t="shared" si="5"/>
        <v>43756</v>
      </c>
      <c r="K204" s="20">
        <f>K$218+(14*(K$187-K$218))/31</f>
        <v>0.23346774193548386</v>
      </c>
    </row>
    <row r="205" spans="9:11" ht="18">
      <c r="I205" s="4">
        <f t="shared" si="5"/>
        <v>43757</v>
      </c>
      <c r="K205" s="20">
        <f>K$218+(13*(K$187-K$218))/31</f>
        <v>0.2307795698924731</v>
      </c>
    </row>
    <row r="206" spans="9:11" ht="18">
      <c r="I206" s="4">
        <f t="shared" si="5"/>
        <v>43758</v>
      </c>
      <c r="K206" s="20">
        <f>K$218+(12*(K$187-K$218))/31</f>
        <v>0.22809139784946236</v>
      </c>
    </row>
    <row r="207" spans="9:11" ht="18">
      <c r="I207" s="4">
        <f t="shared" si="5"/>
        <v>43759</v>
      </c>
      <c r="K207" s="20">
        <f>K$218+(11*(K$187-K$218))/31</f>
        <v>0.2254032258064516</v>
      </c>
    </row>
    <row r="208" spans="9:11" ht="18">
      <c r="I208" s="4">
        <f t="shared" si="5"/>
        <v>43760</v>
      </c>
      <c r="K208" s="20">
        <f>K$218+(10*(K$187-K$218))/31</f>
        <v>0.22271505376344086</v>
      </c>
    </row>
    <row r="209" spans="9:11" ht="18">
      <c r="I209" s="4">
        <f t="shared" si="5"/>
        <v>43761</v>
      </c>
      <c r="K209" s="20">
        <f>K$218+(9*(K$187-K$218))/31</f>
        <v>0.2200268817204301</v>
      </c>
    </row>
    <row r="210" spans="9:11" ht="18">
      <c r="I210" s="4">
        <f t="shared" si="5"/>
        <v>43762</v>
      </c>
      <c r="K210" s="20">
        <f>K$218+(8*(K$187-K$218))/31</f>
        <v>0.21733870967741936</v>
      </c>
    </row>
    <row r="211" spans="9:11" ht="18">
      <c r="I211" s="4">
        <f t="shared" si="5"/>
        <v>43763</v>
      </c>
      <c r="K211" s="20">
        <f>K$218+(7*(K$187-K$218))/31</f>
        <v>0.2146505376344086</v>
      </c>
    </row>
    <row r="212" spans="9:11" ht="18">
      <c r="I212" s="4">
        <f t="shared" si="5"/>
        <v>43764</v>
      </c>
      <c r="K212" s="20">
        <f>K$218+(6*(K$187-K$218))/31</f>
        <v>0.21196236559139786</v>
      </c>
    </row>
    <row r="213" spans="9:11" ht="18">
      <c r="I213" s="4">
        <f t="shared" si="5"/>
        <v>43765</v>
      </c>
      <c r="K213" s="20">
        <f>K$218+(5*(K$187-K$218))/31</f>
        <v>0.2092741935483871</v>
      </c>
    </row>
    <row r="214" spans="9:11" ht="18">
      <c r="I214" s="4">
        <f t="shared" si="5"/>
        <v>43766</v>
      </c>
      <c r="K214" s="20">
        <f>K$218+(4*(K$187-K$218))/31</f>
        <v>0.20658602150537633</v>
      </c>
    </row>
    <row r="215" spans="9:11" ht="18">
      <c r="I215" s="4">
        <f t="shared" si="5"/>
        <v>43767</v>
      </c>
      <c r="K215" s="20">
        <f>K$218+(3*(K$187-K$218))/31</f>
        <v>0.20389784946236558</v>
      </c>
    </row>
    <row r="216" spans="9:11" ht="18">
      <c r="I216" s="4">
        <f t="shared" si="5"/>
        <v>43768</v>
      </c>
      <c r="K216" s="20">
        <f>K$218+(2*(K$187-K$218))/31</f>
        <v>0.20120967741935483</v>
      </c>
    </row>
    <row r="217" spans="9:11" ht="18">
      <c r="I217" s="4">
        <f t="shared" si="5"/>
        <v>43769</v>
      </c>
      <c r="K217" s="20">
        <f>K$218+(1*(K$187-K$218))/31</f>
        <v>0.19852150537634408</v>
      </c>
    </row>
    <row r="218" spans="9:11" ht="18">
      <c r="I218" s="4">
        <f t="shared" si="5"/>
        <v>43770</v>
      </c>
      <c r="K218" s="20">
        <f>T6</f>
        <v>0.19583333333333333</v>
      </c>
    </row>
    <row r="219" spans="9:11" ht="18">
      <c r="I219" s="4">
        <f t="shared" si="5"/>
        <v>43771</v>
      </c>
      <c r="K219" s="20">
        <f>K$248+(29*(K$218-K$248))/30</f>
        <v>0.19444444444444445</v>
      </c>
    </row>
    <row r="220" spans="9:11" ht="18">
      <c r="I220" s="4">
        <f t="shared" si="5"/>
        <v>43772</v>
      </c>
      <c r="K220" s="20">
        <f>K$248+(28*(K$218-K$248))/30</f>
        <v>0.19305555555555556</v>
      </c>
    </row>
    <row r="221" spans="9:11" ht="18">
      <c r="I221" s="4">
        <f t="shared" si="5"/>
        <v>43773</v>
      </c>
      <c r="K221" s="20">
        <f>K$248+(27*(K$218-K$248))/30</f>
        <v>0.19166666666666665</v>
      </c>
    </row>
    <row r="222" spans="9:11" ht="18">
      <c r="I222" s="4">
        <f t="shared" si="5"/>
        <v>43774</v>
      </c>
      <c r="K222" s="20">
        <f>K$248+(26*(K$218-K$248))/30</f>
        <v>0.19027777777777777</v>
      </c>
    </row>
    <row r="223" spans="9:11" ht="18">
      <c r="I223" s="4">
        <f t="shared" si="5"/>
        <v>43775</v>
      </c>
      <c r="K223" s="20">
        <f>K$248+(25*(K$218-K$248))/30</f>
        <v>0.18888888888888888</v>
      </c>
    </row>
    <row r="224" spans="9:11" ht="18">
      <c r="I224" s="4">
        <f t="shared" si="5"/>
        <v>43776</v>
      </c>
      <c r="K224" s="20">
        <f>K$248+(24*(K$218-K$248))/30</f>
        <v>0.1875</v>
      </c>
    </row>
    <row r="225" spans="9:11" ht="18">
      <c r="I225" s="4">
        <f t="shared" si="5"/>
        <v>43777</v>
      </c>
      <c r="K225" s="20">
        <f>K$248+(23*(K$218-K$248))/30</f>
        <v>0.18611111111111112</v>
      </c>
    </row>
    <row r="226" spans="9:11" ht="18">
      <c r="I226" s="4">
        <f t="shared" si="5"/>
        <v>43778</v>
      </c>
      <c r="K226" s="20">
        <f>K$248+(22*(K$218-K$248))/30</f>
        <v>0.18472222222222223</v>
      </c>
    </row>
    <row r="227" spans="9:11" ht="18">
      <c r="I227" s="4">
        <f t="shared" si="5"/>
        <v>43779</v>
      </c>
      <c r="K227" s="20">
        <f>K$248+(21*(K$218-K$248))/30</f>
        <v>0.18333333333333335</v>
      </c>
    </row>
    <row r="228" spans="9:11" ht="18">
      <c r="I228" s="4">
        <f t="shared" si="5"/>
        <v>43780</v>
      </c>
      <c r="K228" s="20">
        <f>K$248+(20*(K$218-K$248))/30</f>
        <v>0.18194444444444444</v>
      </c>
    </row>
    <row r="229" spans="9:11" ht="18">
      <c r="I229" s="4">
        <f t="shared" si="5"/>
        <v>43781</v>
      </c>
      <c r="K229" s="20">
        <f>K$248+(19*(K$218-K$248))/30</f>
        <v>0.18055555555555555</v>
      </c>
    </row>
    <row r="230" spans="9:11" ht="18">
      <c r="I230" s="4">
        <f t="shared" si="5"/>
        <v>43782</v>
      </c>
      <c r="K230" s="20">
        <f>K$248+(18*(K$218-K$248))/30</f>
        <v>0.17916666666666667</v>
      </c>
    </row>
    <row r="231" spans="9:11" ht="18">
      <c r="I231" s="4">
        <f t="shared" si="5"/>
        <v>43783</v>
      </c>
      <c r="K231" s="20">
        <f>K$248+(17*(K$218-K$248))/30</f>
        <v>0.17777777777777778</v>
      </c>
    </row>
    <row r="232" spans="9:11" ht="18">
      <c r="I232" s="4">
        <f t="shared" si="5"/>
        <v>43784</v>
      </c>
      <c r="K232" s="20">
        <f>K$248+(16*(K$218-K$248))/30</f>
        <v>0.1763888888888889</v>
      </c>
    </row>
    <row r="233" spans="9:11" ht="18">
      <c r="I233" s="4">
        <f t="shared" si="5"/>
        <v>43785</v>
      </c>
      <c r="K233" s="20">
        <f>K$248+(15*(K$218-K$248))/30</f>
        <v>0.175</v>
      </c>
    </row>
    <row r="234" spans="9:11" ht="18">
      <c r="I234" s="4">
        <f t="shared" si="5"/>
        <v>43786</v>
      </c>
      <c r="K234" s="20">
        <f>K$248+(14*(K$218-K$248))/30</f>
        <v>0.1736111111111111</v>
      </c>
    </row>
    <row r="235" spans="9:11" ht="18">
      <c r="I235" s="4">
        <f t="shared" si="5"/>
        <v>43787</v>
      </c>
      <c r="K235" s="20">
        <f>K$248+(13*(K$218-K$248))/30</f>
        <v>0.17222222222222222</v>
      </c>
    </row>
    <row r="236" spans="9:11" ht="18">
      <c r="I236" s="4">
        <f t="shared" si="5"/>
        <v>43788</v>
      </c>
      <c r="K236" s="20">
        <f>K$248+(12*(K$218-K$248))/30</f>
        <v>0.17083333333333334</v>
      </c>
    </row>
    <row r="237" spans="9:11" ht="18">
      <c r="I237" s="4">
        <f t="shared" si="5"/>
        <v>43789</v>
      </c>
      <c r="K237" s="20">
        <f>K$248+(11*(K$218-K$248))/30</f>
        <v>0.16944444444444445</v>
      </c>
    </row>
    <row r="238" spans="9:11" ht="18">
      <c r="I238" s="4">
        <f t="shared" si="5"/>
        <v>43790</v>
      </c>
      <c r="K238" s="20">
        <f>K$248+(10*(K$218-K$248))/30</f>
        <v>0.16805555555555557</v>
      </c>
    </row>
    <row r="239" spans="9:11" ht="18">
      <c r="I239" s="4">
        <f t="shared" si="5"/>
        <v>43791</v>
      </c>
      <c r="K239" s="20">
        <f>K$248+(9*(K$218-K$248))/30</f>
        <v>0.16666666666666666</v>
      </c>
    </row>
    <row r="240" spans="9:11" ht="18">
      <c r="I240" s="4">
        <f t="shared" si="5"/>
        <v>43792</v>
      </c>
      <c r="K240" s="20">
        <f>K$248+(8*(K$218-K$248))/30</f>
        <v>0.16527777777777777</v>
      </c>
    </row>
    <row r="241" spans="9:11" ht="18">
      <c r="I241" s="4">
        <f t="shared" si="5"/>
        <v>43793</v>
      </c>
      <c r="K241" s="20">
        <f>K$248+(7*(K$218-K$248))/30</f>
        <v>0.1638888888888889</v>
      </c>
    </row>
    <row r="242" spans="9:11" ht="18">
      <c r="I242" s="4">
        <f t="shared" si="5"/>
        <v>43794</v>
      </c>
      <c r="K242" s="20">
        <f>K$248+(6*(K$218-K$248))/30</f>
        <v>0.1625</v>
      </c>
    </row>
    <row r="243" spans="9:11" ht="18">
      <c r="I243" s="4">
        <f t="shared" si="5"/>
        <v>43795</v>
      </c>
      <c r="K243" s="20">
        <f>K$248+(5*(K$218-K$248))/30</f>
        <v>0.16111111111111112</v>
      </c>
    </row>
    <row r="244" spans="9:11" ht="18">
      <c r="I244" s="4">
        <f t="shared" si="5"/>
        <v>43796</v>
      </c>
      <c r="K244" s="20">
        <f>K$248+(4*(K$218-K$248))/30</f>
        <v>0.15972222222222224</v>
      </c>
    </row>
    <row r="245" spans="9:11" ht="18">
      <c r="I245" s="4">
        <f t="shared" si="5"/>
        <v>43797</v>
      </c>
      <c r="K245" s="20">
        <f>K$248+(3*(K$218-K$248))/30</f>
        <v>0.15833333333333333</v>
      </c>
    </row>
    <row r="246" spans="9:11" ht="18">
      <c r="I246" s="4">
        <f t="shared" si="5"/>
        <v>43798</v>
      </c>
      <c r="K246" s="20">
        <f>K$248+(2*(K$218-K$248))/30</f>
        <v>0.15694444444444444</v>
      </c>
    </row>
    <row r="247" spans="9:11" ht="18">
      <c r="I247" s="4">
        <f t="shared" si="5"/>
        <v>43799</v>
      </c>
      <c r="K247" s="20">
        <f>K$248+(1*(K$218-K$248))/30</f>
        <v>0.15555555555555556</v>
      </c>
    </row>
    <row r="248" spans="9:11" ht="18">
      <c r="I248" s="4">
        <f t="shared" si="5"/>
        <v>43800</v>
      </c>
      <c r="K248" s="20">
        <f>U6</f>
        <v>0.15416666666666667</v>
      </c>
    </row>
    <row r="249" spans="9:11" ht="18">
      <c r="I249" s="4"/>
      <c r="K249" s="20"/>
    </row>
    <row r="250" spans="9:11" ht="18">
      <c r="I250" s="4"/>
      <c r="K250" s="20"/>
    </row>
    <row r="251" spans="9:11" ht="18">
      <c r="I251" s="4"/>
      <c r="K251" s="20"/>
    </row>
    <row r="252" spans="9:11" ht="18">
      <c r="I252" s="4"/>
      <c r="K252" s="20"/>
    </row>
    <row r="253" spans="9:11" ht="18">
      <c r="I253" s="4"/>
      <c r="K253" s="20"/>
    </row>
    <row r="254" spans="9:11" ht="18">
      <c r="I254" s="4"/>
      <c r="K254" s="20"/>
    </row>
    <row r="255" spans="9:11" ht="18">
      <c r="I255" s="4"/>
      <c r="K255" s="20"/>
    </row>
    <row r="256" spans="9:11" ht="18">
      <c r="I256" s="4"/>
      <c r="K256" s="20"/>
    </row>
    <row r="257" spans="9:11" ht="18">
      <c r="I257" s="4"/>
      <c r="K257" s="20"/>
    </row>
    <row r="258" spans="9:11" ht="18">
      <c r="I258" s="4"/>
      <c r="K258" s="20"/>
    </row>
    <row r="259" spans="9:11" ht="18">
      <c r="I259" s="4"/>
      <c r="K259" s="20"/>
    </row>
    <row r="260" spans="9:11" ht="18">
      <c r="I260" s="4"/>
      <c r="K260" s="20"/>
    </row>
    <row r="261" spans="9:11" ht="18">
      <c r="I261" s="4"/>
      <c r="K261" s="20"/>
    </row>
    <row r="262" spans="9:11" ht="18">
      <c r="I262" s="4"/>
      <c r="K262" s="20"/>
    </row>
    <row r="263" spans="9:11" ht="18">
      <c r="I263" s="4"/>
      <c r="K263" s="20"/>
    </row>
    <row r="264" spans="9:11" ht="18">
      <c r="I264" s="4"/>
      <c r="K264" s="20"/>
    </row>
    <row r="265" spans="9:11" ht="18">
      <c r="I265" s="4"/>
      <c r="K265" s="20"/>
    </row>
    <row r="266" spans="9:11" ht="18">
      <c r="I266" s="4"/>
      <c r="K266" s="20"/>
    </row>
    <row r="267" spans="9:11" ht="18">
      <c r="I267" s="4"/>
      <c r="K267" s="20"/>
    </row>
    <row r="268" spans="9:11" ht="18">
      <c r="I268" s="4"/>
      <c r="K268" s="20"/>
    </row>
    <row r="269" spans="9:11" ht="18">
      <c r="I269" s="4"/>
      <c r="K269" s="20"/>
    </row>
    <row r="270" spans="9:11" ht="18">
      <c r="I270" s="4"/>
      <c r="K270" s="20"/>
    </row>
    <row r="271" spans="9:11" ht="18">
      <c r="I271" s="4"/>
      <c r="K271" s="20"/>
    </row>
    <row r="272" spans="9:11" ht="18">
      <c r="I272" s="4"/>
      <c r="K272" s="20"/>
    </row>
    <row r="273" spans="9:11" ht="18">
      <c r="I273" s="4"/>
      <c r="K273" s="20"/>
    </row>
    <row r="274" spans="9:11" ht="18">
      <c r="I274" s="4"/>
      <c r="K274" s="20"/>
    </row>
    <row r="275" spans="9:11" ht="18">
      <c r="I275" s="4"/>
      <c r="K275" s="20"/>
    </row>
    <row r="276" spans="9:11" ht="18">
      <c r="I276" s="4"/>
      <c r="K276" s="20"/>
    </row>
    <row r="277" spans="9:11" ht="18">
      <c r="I277" s="4"/>
      <c r="K277" s="20"/>
    </row>
    <row r="278" spans="9:11" ht="18">
      <c r="I278" s="4"/>
      <c r="K278" s="20"/>
    </row>
    <row r="279" spans="9:11" ht="18">
      <c r="I279" s="4"/>
      <c r="K279" s="20"/>
    </row>
    <row r="280" spans="9:11" ht="18">
      <c r="I280" s="4"/>
      <c r="K280" s="20"/>
    </row>
    <row r="281" spans="9:11" ht="18">
      <c r="I281" s="4"/>
      <c r="K281" s="20"/>
    </row>
    <row r="282" spans="9:11" ht="18">
      <c r="I282" s="4"/>
      <c r="K282" s="20"/>
    </row>
    <row r="283" spans="9:11" ht="18">
      <c r="I283" s="4"/>
      <c r="K283" s="20"/>
    </row>
    <row r="284" spans="9:11" ht="18">
      <c r="I284" s="4"/>
      <c r="K284" s="20"/>
    </row>
    <row r="285" spans="9:11" ht="18">
      <c r="I285" s="4"/>
      <c r="K285" s="20"/>
    </row>
    <row r="286" spans="9:11" ht="18">
      <c r="I286" s="4"/>
      <c r="K286" s="20"/>
    </row>
    <row r="287" spans="9:11" ht="18">
      <c r="I287" s="4"/>
      <c r="K287" s="20"/>
    </row>
    <row r="288" spans="9:11" ht="18">
      <c r="I288" s="4"/>
      <c r="K288" s="20"/>
    </row>
    <row r="289" spans="9:11" ht="18">
      <c r="I289" s="4"/>
      <c r="K289" s="20"/>
    </row>
    <row r="290" spans="9:11" ht="18">
      <c r="I290" s="4"/>
      <c r="K290" s="20"/>
    </row>
    <row r="291" spans="9:11" ht="18">
      <c r="I291" s="4"/>
      <c r="K291" s="20"/>
    </row>
    <row r="292" spans="9:11" ht="18">
      <c r="I292" s="4"/>
      <c r="K292" s="20"/>
    </row>
    <row r="293" spans="9:11" ht="18">
      <c r="I293" s="4"/>
      <c r="K293" s="20"/>
    </row>
    <row r="294" spans="9:11" ht="18">
      <c r="I294" s="4"/>
      <c r="K294" s="20"/>
    </row>
    <row r="295" spans="9:11" ht="18">
      <c r="I295" s="4"/>
      <c r="K295" s="20"/>
    </row>
    <row r="296" spans="9:11" ht="18">
      <c r="I296" s="4"/>
      <c r="K296" s="20"/>
    </row>
    <row r="297" spans="9:11" ht="18">
      <c r="I297" s="4"/>
      <c r="K297" s="20"/>
    </row>
    <row r="298" spans="9:11" ht="18">
      <c r="I298" s="4"/>
      <c r="K298" s="20"/>
    </row>
    <row r="299" spans="9:11" ht="18">
      <c r="I299" s="4"/>
      <c r="K299" s="20"/>
    </row>
    <row r="300" spans="9:11" ht="18">
      <c r="I300" s="4"/>
      <c r="K300" s="20"/>
    </row>
    <row r="301" spans="9:11" ht="18">
      <c r="I301" s="4"/>
      <c r="K301" s="20"/>
    </row>
    <row r="302" spans="9:11" ht="18">
      <c r="I302" s="4"/>
      <c r="K302" s="20"/>
    </row>
    <row r="303" spans="9:11" ht="18">
      <c r="I303" s="4"/>
      <c r="K303" s="20"/>
    </row>
    <row r="304" spans="9:11" ht="18">
      <c r="I304" s="4"/>
      <c r="K304" s="20"/>
    </row>
    <row r="305" spans="9:11" ht="18">
      <c r="I305" s="4"/>
      <c r="K305" s="20"/>
    </row>
    <row r="306" spans="9:11" ht="18">
      <c r="I306" s="4"/>
      <c r="K306" s="20"/>
    </row>
    <row r="307" spans="9:11" ht="18">
      <c r="I307" s="4"/>
      <c r="K307" s="20"/>
    </row>
    <row r="308" spans="9:11" ht="18">
      <c r="I308" s="4"/>
      <c r="K308" s="20"/>
    </row>
    <row r="309" spans="9:11" ht="18">
      <c r="I309" s="4"/>
      <c r="K309" s="20"/>
    </row>
    <row r="310" spans="9:11" ht="18">
      <c r="I310" s="4"/>
      <c r="K310" s="20"/>
    </row>
    <row r="311" spans="9:11" ht="18">
      <c r="I311" s="4"/>
      <c r="K311" s="20"/>
    </row>
    <row r="312" spans="9:11" ht="18">
      <c r="I312" s="4"/>
      <c r="K312" s="20"/>
    </row>
    <row r="313" spans="9:11" ht="18">
      <c r="I313" s="4"/>
      <c r="K313" s="20"/>
    </row>
    <row r="314" spans="9:11" ht="18">
      <c r="I314" s="4"/>
      <c r="K314" s="20"/>
    </row>
    <row r="315" spans="9:11" ht="18">
      <c r="I315" s="4"/>
      <c r="K315" s="20"/>
    </row>
    <row r="316" spans="9:11" ht="18">
      <c r="I316" s="4"/>
      <c r="K316" s="20"/>
    </row>
    <row r="317" spans="9:11" ht="18">
      <c r="I317" s="4"/>
      <c r="K317" s="20"/>
    </row>
    <row r="318" spans="9:11" ht="18">
      <c r="I318" s="4"/>
      <c r="K318" s="20"/>
    </row>
    <row r="319" spans="9:11" ht="18">
      <c r="I319" s="4"/>
      <c r="K319" s="20"/>
    </row>
    <row r="320" spans="9:11" ht="18">
      <c r="I320" s="4"/>
      <c r="K320" s="20"/>
    </row>
    <row r="321" spans="9:11" ht="18">
      <c r="I321" s="4"/>
      <c r="K321" s="20"/>
    </row>
    <row r="322" spans="9:11" ht="18">
      <c r="I322" s="4"/>
      <c r="K322" s="20"/>
    </row>
    <row r="323" spans="9:11" ht="18">
      <c r="I323" s="4"/>
      <c r="K323" s="20"/>
    </row>
    <row r="324" spans="9:11" ht="18">
      <c r="I324" s="4"/>
      <c r="K324" s="20"/>
    </row>
    <row r="325" spans="9:11" ht="18">
      <c r="I325" s="4"/>
      <c r="K325" s="20"/>
    </row>
    <row r="326" spans="9:11" ht="18">
      <c r="I326" s="4"/>
      <c r="K326" s="20"/>
    </row>
    <row r="327" spans="9:11" ht="18">
      <c r="I327" s="4"/>
      <c r="K327" s="20"/>
    </row>
    <row r="328" spans="9:11" ht="18">
      <c r="I328" s="4"/>
      <c r="K328" s="20"/>
    </row>
    <row r="329" spans="9:11" ht="18">
      <c r="I329" s="4"/>
      <c r="K329" s="20"/>
    </row>
    <row r="330" spans="9:11" ht="18">
      <c r="I330" s="4"/>
      <c r="K330" s="20"/>
    </row>
    <row r="331" spans="9:11" ht="18">
      <c r="I331" s="4"/>
      <c r="K331" s="20"/>
    </row>
    <row r="332" spans="9:11" ht="18">
      <c r="I332" s="4"/>
      <c r="K332" s="20"/>
    </row>
    <row r="333" spans="9:11" ht="18">
      <c r="I333" s="4"/>
      <c r="K333" s="20"/>
    </row>
    <row r="334" spans="9:11" ht="18">
      <c r="I334" s="4"/>
      <c r="K334" s="20"/>
    </row>
    <row r="335" spans="9:11" ht="18">
      <c r="I335" s="4"/>
      <c r="K335" s="20"/>
    </row>
    <row r="336" spans="9:11" ht="18">
      <c r="I336" s="4"/>
      <c r="K336" s="20"/>
    </row>
    <row r="337" spans="9:11" ht="18">
      <c r="I337" s="4"/>
      <c r="K337" s="20"/>
    </row>
    <row r="338" spans="9:11" ht="18">
      <c r="I338" s="4"/>
      <c r="K338" s="20"/>
    </row>
    <row r="339" spans="9:11" ht="18">
      <c r="I339" s="4"/>
      <c r="K339" s="20"/>
    </row>
    <row r="340" spans="9:11" ht="18">
      <c r="I340" s="4"/>
      <c r="K340" s="20"/>
    </row>
    <row r="341" spans="9:11" ht="18">
      <c r="I341" s="4"/>
      <c r="K341" s="20"/>
    </row>
    <row r="342" spans="9:11" ht="18">
      <c r="I342" s="4"/>
      <c r="K342" s="20"/>
    </row>
    <row r="343" spans="9:11" ht="18">
      <c r="I343" s="4"/>
      <c r="K343" s="20"/>
    </row>
    <row r="344" spans="9:11" ht="18">
      <c r="I344" s="4"/>
      <c r="K344" s="20"/>
    </row>
    <row r="345" spans="9:11" ht="18">
      <c r="I345" s="4"/>
      <c r="K345" s="20"/>
    </row>
    <row r="346" spans="9:11" ht="18">
      <c r="I346" s="4"/>
      <c r="K346" s="20"/>
    </row>
    <row r="347" spans="9:11" ht="18">
      <c r="I347" s="4"/>
      <c r="K347" s="20"/>
    </row>
    <row r="348" spans="9:11" ht="18">
      <c r="I348" s="4"/>
      <c r="K348" s="20"/>
    </row>
    <row r="349" spans="9:11" ht="18">
      <c r="I349" s="4"/>
      <c r="K349" s="20"/>
    </row>
    <row r="350" spans="9:11" ht="18">
      <c r="I350" s="4"/>
      <c r="K350" s="20"/>
    </row>
    <row r="351" spans="9:11" ht="18">
      <c r="I351" s="4"/>
      <c r="K351" s="20"/>
    </row>
    <row r="352" spans="9:11" ht="18">
      <c r="I352" s="4"/>
      <c r="K352" s="20"/>
    </row>
    <row r="353" spans="9:11" ht="18">
      <c r="I353" s="4"/>
      <c r="K353" s="20"/>
    </row>
    <row r="354" spans="9:11" ht="18">
      <c r="I354" s="4"/>
      <c r="K354" s="20"/>
    </row>
    <row r="355" spans="9:11" ht="18">
      <c r="I355" s="4"/>
      <c r="K355" s="20"/>
    </row>
    <row r="356" spans="9:11" ht="18">
      <c r="I356" s="4"/>
      <c r="K356" s="20"/>
    </row>
    <row r="357" spans="9:11" ht="18">
      <c r="I357" s="4"/>
      <c r="K357" s="20"/>
    </row>
    <row r="358" spans="9:11" ht="18">
      <c r="I358" s="4"/>
      <c r="K358" s="20"/>
    </row>
    <row r="359" spans="9:11" ht="18">
      <c r="I359" s="4"/>
      <c r="K359" s="20"/>
    </row>
    <row r="360" spans="9:11" ht="18">
      <c r="I360" s="4"/>
      <c r="K360" s="20"/>
    </row>
    <row r="361" spans="9:11" ht="18">
      <c r="I361" s="4"/>
      <c r="K361" s="20"/>
    </row>
    <row r="362" spans="9:11" ht="18">
      <c r="I362" s="4"/>
      <c r="K362" s="20"/>
    </row>
    <row r="363" spans="9:11" ht="18">
      <c r="I363" s="4"/>
      <c r="K363" s="20"/>
    </row>
    <row r="364" spans="9:11" ht="18">
      <c r="I364" s="4"/>
      <c r="K364" s="20"/>
    </row>
    <row r="365" ht="18">
      <c r="I365" s="4"/>
    </row>
    <row r="366" ht="18">
      <c r="I366" s="4"/>
    </row>
    <row r="367" ht="18">
      <c r="I367" s="4"/>
    </row>
    <row r="368" ht="18">
      <c r="I368" s="4"/>
    </row>
    <row r="369" ht="18">
      <c r="I369" s="4"/>
    </row>
    <row r="370" ht="18">
      <c r="I370" s="4"/>
    </row>
    <row r="371" ht="18">
      <c r="I371" s="4"/>
    </row>
    <row r="372" ht="18">
      <c r="I372" s="4"/>
    </row>
    <row r="373" ht="18">
      <c r="I373" s="4"/>
    </row>
    <row r="374" ht="18">
      <c r="I374" s="4"/>
    </row>
    <row r="375" ht="18">
      <c r="I375" s="4"/>
    </row>
    <row r="376" ht="18">
      <c r="I376" s="4"/>
    </row>
    <row r="377" ht="18">
      <c r="I377" s="4"/>
    </row>
    <row r="378" ht="18">
      <c r="I378" s="4"/>
    </row>
    <row r="379" ht="18">
      <c r="I379" s="4"/>
    </row>
    <row r="380" ht="18">
      <c r="I380" s="4"/>
    </row>
    <row r="381" ht="18">
      <c r="I381" s="4"/>
    </row>
    <row r="382" ht="18">
      <c r="I382" s="4"/>
    </row>
    <row r="383" ht="18">
      <c r="I383" s="4"/>
    </row>
    <row r="384" ht="18">
      <c r="I384" s="4"/>
    </row>
    <row r="385" ht="18">
      <c r="I385" s="4"/>
    </row>
    <row r="386" ht="18">
      <c r="I386" s="4"/>
    </row>
    <row r="387" ht="18">
      <c r="I387" s="4"/>
    </row>
    <row r="388" ht="18">
      <c r="I388" s="4"/>
    </row>
    <row r="389" ht="18">
      <c r="I389" s="4"/>
    </row>
    <row r="390" ht="18">
      <c r="I390" s="4"/>
    </row>
    <row r="391" ht="18">
      <c r="I391" s="4"/>
    </row>
    <row r="392" ht="18">
      <c r="I392" s="4"/>
    </row>
    <row r="393" ht="18">
      <c r="I393" s="4"/>
    </row>
    <row r="394" ht="18">
      <c r="I394" s="4"/>
    </row>
    <row r="395" ht="18">
      <c r="I395" s="4"/>
    </row>
    <row r="396" ht="18">
      <c r="I396" s="4"/>
    </row>
    <row r="397" ht="18">
      <c r="I397" s="4"/>
    </row>
    <row r="398" ht="18">
      <c r="I398" s="4"/>
    </row>
    <row r="399" ht="18">
      <c r="I399" s="4"/>
    </row>
    <row r="400" ht="18">
      <c r="I400" s="4"/>
    </row>
    <row r="401" ht="18">
      <c r="I401" s="4"/>
    </row>
    <row r="402" ht="18">
      <c r="I402" s="4"/>
    </row>
    <row r="403" ht="18">
      <c r="I403" s="4"/>
    </row>
    <row r="404" ht="18">
      <c r="I404" s="4"/>
    </row>
    <row r="405" ht="18">
      <c r="I405" s="4"/>
    </row>
    <row r="406" ht="18">
      <c r="I406" s="4"/>
    </row>
    <row r="407" ht="18">
      <c r="I407" s="4"/>
    </row>
    <row r="408" ht="18">
      <c r="I408" s="4"/>
    </row>
    <row r="409" ht="18">
      <c r="I409" s="4"/>
    </row>
    <row r="410" ht="18">
      <c r="I410" s="4"/>
    </row>
    <row r="411" ht="18">
      <c r="I411" s="4"/>
    </row>
    <row r="412" ht="18">
      <c r="I412" s="4"/>
    </row>
    <row r="413" ht="18">
      <c r="I413" s="4"/>
    </row>
    <row r="414" ht="18">
      <c r="I414" s="4"/>
    </row>
    <row r="415" ht="18">
      <c r="I415" s="4"/>
    </row>
    <row r="416" ht="18">
      <c r="I416" s="4"/>
    </row>
    <row r="417" ht="18">
      <c r="I417" s="4"/>
    </row>
    <row r="418" ht="18">
      <c r="I418" s="4"/>
    </row>
    <row r="419" ht="18">
      <c r="I419" s="4"/>
    </row>
    <row r="420" ht="18">
      <c r="I420" s="4"/>
    </row>
    <row r="421" ht="18">
      <c r="I421" s="4"/>
    </row>
    <row r="422" ht="18">
      <c r="I422" s="4"/>
    </row>
    <row r="423" ht="18">
      <c r="I423" s="4"/>
    </row>
    <row r="424" ht="18">
      <c r="I424" s="4"/>
    </row>
    <row r="425" ht="18">
      <c r="I425" s="4"/>
    </row>
    <row r="426" ht="18">
      <c r="I426" s="4"/>
    </row>
    <row r="427" ht="18">
      <c r="I427" s="4"/>
    </row>
    <row r="428" ht="18">
      <c r="I428" s="4"/>
    </row>
    <row r="429" ht="18">
      <c r="I429" s="4"/>
    </row>
    <row r="430" ht="18">
      <c r="I430" s="4"/>
    </row>
    <row r="431" ht="18">
      <c r="I431" s="4"/>
    </row>
    <row r="432" ht="18">
      <c r="I432" s="4"/>
    </row>
    <row r="433" ht="18">
      <c r="I433" s="4"/>
    </row>
    <row r="434" ht="18">
      <c r="I434" s="4"/>
    </row>
    <row r="435" ht="18">
      <c r="I435" s="4"/>
    </row>
    <row r="436" ht="18">
      <c r="I436" s="4"/>
    </row>
    <row r="437" ht="18">
      <c r="I437" s="4"/>
    </row>
    <row r="438" ht="18">
      <c r="I438" s="4"/>
    </row>
    <row r="439" ht="18">
      <c r="I439" s="4"/>
    </row>
    <row r="440" ht="18">
      <c r="I440" s="4"/>
    </row>
    <row r="441" ht="18">
      <c r="I441" s="4"/>
    </row>
    <row r="442" ht="18">
      <c r="I442" s="4"/>
    </row>
    <row r="443" ht="18">
      <c r="I443" s="4"/>
    </row>
    <row r="444" ht="18">
      <c r="I444" s="4"/>
    </row>
    <row r="445" ht="18">
      <c r="I445" s="4"/>
    </row>
    <row r="446" ht="18">
      <c r="I446" s="4"/>
    </row>
    <row r="447" ht="18">
      <c r="I447" s="4"/>
    </row>
    <row r="448" ht="18">
      <c r="I448" s="4"/>
    </row>
    <row r="449" ht="18">
      <c r="I449" s="4"/>
    </row>
    <row r="450" ht="18">
      <c r="I450" s="4"/>
    </row>
    <row r="451" ht="18">
      <c r="I451" s="4"/>
    </row>
    <row r="452" ht="18">
      <c r="I452" s="4"/>
    </row>
    <row r="453" ht="18">
      <c r="I453" s="4"/>
    </row>
    <row r="454" ht="18">
      <c r="I454" s="4"/>
    </row>
    <row r="455" ht="18">
      <c r="I455" s="4"/>
    </row>
    <row r="456" ht="18">
      <c r="I456" s="4"/>
    </row>
    <row r="457" ht="18">
      <c r="I457" s="4"/>
    </row>
    <row r="458" ht="18">
      <c r="I458" s="4"/>
    </row>
    <row r="459" ht="18">
      <c r="I459" s="4"/>
    </row>
    <row r="460" ht="18">
      <c r="I460" s="4"/>
    </row>
    <row r="461" ht="18">
      <c r="I461" s="4"/>
    </row>
    <row r="462" ht="18">
      <c r="I462" s="4"/>
    </row>
    <row r="463" ht="18">
      <c r="I463" s="4"/>
    </row>
    <row r="464" ht="18">
      <c r="I464" s="4"/>
    </row>
    <row r="465" ht="18">
      <c r="I465" s="4"/>
    </row>
    <row r="466" ht="18">
      <c r="I466" s="4"/>
    </row>
    <row r="467" ht="18">
      <c r="I467" s="4"/>
    </row>
    <row r="468" ht="18">
      <c r="I468" s="4"/>
    </row>
    <row r="469" ht="18">
      <c r="I469" s="4"/>
    </row>
    <row r="470" ht="18">
      <c r="I470" s="4"/>
    </row>
    <row r="471" ht="18">
      <c r="I471" s="4"/>
    </row>
    <row r="472" ht="18">
      <c r="I472" s="4"/>
    </row>
    <row r="473" ht="18">
      <c r="I473" s="4"/>
    </row>
    <row r="474" ht="18">
      <c r="I474" s="4"/>
    </row>
    <row r="475" ht="18">
      <c r="I475" s="4"/>
    </row>
    <row r="476" ht="18">
      <c r="I476" s="4"/>
    </row>
    <row r="477" ht="18">
      <c r="I477" s="4"/>
    </row>
    <row r="478" ht="18">
      <c r="I478" s="4"/>
    </row>
    <row r="479" ht="18">
      <c r="I479" s="4"/>
    </row>
    <row r="480" ht="18">
      <c r="I480" s="4"/>
    </row>
    <row r="481" ht="18">
      <c r="I481" s="4"/>
    </row>
    <row r="482" ht="18">
      <c r="I482" s="4"/>
    </row>
    <row r="483" ht="18">
      <c r="I483" s="4"/>
    </row>
    <row r="484" ht="18">
      <c r="I484" s="4"/>
    </row>
    <row r="485" ht="18">
      <c r="I485" s="4"/>
    </row>
    <row r="486" ht="18">
      <c r="I486" s="4"/>
    </row>
    <row r="487" ht="18">
      <c r="I487" s="4"/>
    </row>
    <row r="488" ht="18">
      <c r="I488" s="4"/>
    </row>
    <row r="489" ht="18">
      <c r="I489" s="4"/>
    </row>
    <row r="490" ht="18">
      <c r="I490" s="4"/>
    </row>
  </sheetData>
  <sheetProtection password="E9BB" sheet="1" selectLockedCells="1"/>
  <mergeCells count="2">
    <mergeCell ref="E13:H13"/>
    <mergeCell ref="E15:H15"/>
  </mergeCells>
  <dataValidations count="4">
    <dataValidation type="list" allowBlank="1" showInputMessage="1" showErrorMessage="1" sqref="G6">
      <formula1>$I$4:$I$308</formula1>
    </dataValidation>
    <dataValidation type="list" allowBlank="1" showInputMessage="1" showErrorMessage="1" sqref="F6">
      <formula1>$I$4:$I$245</formula1>
    </dataValidation>
    <dataValidation type="list" allowBlank="1" showInputMessage="1" showErrorMessage="1" sqref="G4:H4">
      <formula1>$A$3:$A$11</formula1>
    </dataValidation>
    <dataValidation type="list" allowBlank="1" showInputMessage="1" showErrorMessage="1" sqref="F4">
      <formula1>$A$3:$A$10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803078701</dc:creator>
  <cp:keywords/>
  <dc:description/>
  <cp:lastModifiedBy>M Taylor</cp:lastModifiedBy>
  <dcterms:created xsi:type="dcterms:W3CDTF">2010-05-28T11:33:08Z</dcterms:created>
  <dcterms:modified xsi:type="dcterms:W3CDTF">2018-11-12T19:47:21Z</dcterms:modified>
  <cp:category/>
  <cp:version/>
  <cp:contentType/>
  <cp:contentStatus/>
</cp:coreProperties>
</file>